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 yWindow="48" windowWidth="20448" windowHeight="4536" tabRatio="858" firstSheet="1" activeTab="1"/>
  </bookViews>
  <sheets>
    <sheet name="Biodiversity Impact Assessment" sheetId="1" r:id="rId1"/>
    <sheet name="Linear Impact Assessment" sheetId="2" r:id="rId2"/>
    <sheet name="Summary" sheetId="3" r:id="rId3"/>
    <sheet name="Habitat Details" sheetId="4" r:id="rId4"/>
    <sheet name="Habitat trading down correction" sheetId="5" r:id="rId5"/>
    <sheet name="Linear trading down correction" sheetId="6" r:id="rId6"/>
  </sheets>
  <definedNames>
    <definedName name="Condition">#REF!</definedName>
    <definedName name="Habiats">#REF!</definedName>
    <definedName name="Habitats">#REF!</definedName>
    <definedName name="_xlnm.Print_Area" localSheetId="0">'Biodiversity Impact Assessment'!$A$1:$Q$123</definedName>
    <definedName name="_xlnm.Print_Area" localSheetId="3">'Habitat Details'!$A$1:$K$68</definedName>
    <definedName name="_xlnm.Print_Area" localSheetId="4">'Habitat trading down correction'!$A$1:$H$96</definedName>
    <definedName name="_xlnm.Print_Area" localSheetId="1">'Linear Impact Assessment'!$A$1:$Q$120</definedName>
    <definedName name="_xlnm.Print_Area" localSheetId="5">'Linear trading down correction'!$A$1:$J$92</definedName>
    <definedName name="_xlnm.Print_Area" localSheetId="2">'Summary'!$A$1:$F$40</definedName>
  </definedNames>
  <calcPr fullCalcOnLoad="1"/>
</workbook>
</file>

<file path=xl/comments1.xml><?xml version="1.0" encoding="utf-8"?>
<comments xmlns="http://schemas.openxmlformats.org/spreadsheetml/2006/main">
  <authors>
    <author>Louise Martland</author>
  </authors>
  <commentList>
    <comment ref="F12" authorId="0">
      <text>
        <r>
          <rPr>
            <b/>
            <sz val="9"/>
            <rFont val="Tahoma"/>
            <family val="2"/>
          </rPr>
          <t>Habitat distinctiveness:
High: 6
Medium: 4
Low: 2</t>
        </r>
      </text>
    </comment>
    <comment ref="H12" authorId="0">
      <text>
        <r>
          <rPr>
            <b/>
            <sz val="9"/>
            <rFont val="Tahoma"/>
            <family val="2"/>
          </rPr>
          <t>Habitat condition:
Good: 3
Moderate: 2
Poor: 1</t>
        </r>
      </text>
    </comment>
    <comment ref="F64" authorId="0">
      <text>
        <r>
          <rPr>
            <b/>
            <sz val="9"/>
            <rFont val="Tahoma"/>
            <family val="2"/>
          </rPr>
          <t>Habitat distinctiveness:
High: 6
Medium: 4
Low: 2</t>
        </r>
      </text>
    </comment>
    <comment ref="H64" authorId="0">
      <text>
        <r>
          <rPr>
            <b/>
            <sz val="9"/>
            <rFont val="Tahoma"/>
            <family val="2"/>
          </rPr>
          <t>Habitat condition:
Good: 3
Moderate: 2
Poor: 1</t>
        </r>
      </text>
    </comment>
    <comment ref="K64" authorId="0">
      <text>
        <r>
          <rPr>
            <b/>
            <sz val="9"/>
            <rFont val="Tahoma"/>
            <family val="2"/>
          </rPr>
          <t xml:space="preserve">Time to target condition:
5 years: 1.2
10 years: 1.4
15 years: 1.7
20 years: 2.0
25 years: 2.4
30 years: 2.8
32+ years: 3.0
</t>
        </r>
        <r>
          <rPr>
            <sz val="9"/>
            <rFont val="Tahoma"/>
            <family val="2"/>
          </rPr>
          <t>For built environment habitats please select 5 years.</t>
        </r>
      </text>
    </comment>
    <comment ref="N100" authorId="0">
      <text>
        <r>
          <rPr>
            <b/>
            <sz val="9"/>
            <rFont val="Tahoma"/>
            <family val="2"/>
          </rPr>
          <t xml:space="preserve">HMS:
</t>
        </r>
        <r>
          <rPr>
            <sz val="9"/>
            <rFont val="Tahoma"/>
            <family val="2"/>
          </rPr>
          <t xml:space="preserve">Biodiversity value of on site habitat mitigation measures.
</t>
        </r>
      </text>
    </comment>
    <comment ref="M64" authorId="0">
      <text>
        <r>
          <rPr>
            <b/>
            <sz val="9"/>
            <rFont val="Tahoma"/>
            <family val="2"/>
          </rPr>
          <t>Difficulty of habitat creation / restoration:</t>
        </r>
        <r>
          <rPr>
            <sz val="9"/>
            <rFont val="Tahoma"/>
            <family val="2"/>
          </rPr>
          <t xml:space="preserve">
</t>
        </r>
        <r>
          <rPr>
            <b/>
            <sz val="9"/>
            <rFont val="Tahoma"/>
            <family val="2"/>
          </rPr>
          <t>Very high: 10
High: 3
Medium: 1.5
Low: 1</t>
        </r>
      </text>
    </comment>
    <comment ref="N102" authorId="0">
      <text>
        <r>
          <rPr>
            <b/>
            <sz val="9"/>
            <rFont val="Tahoma"/>
            <family val="2"/>
          </rPr>
          <t>Biodiversity Impact Score:</t>
        </r>
        <r>
          <rPr>
            <sz val="9"/>
            <rFont val="Tahoma"/>
            <family val="2"/>
          </rPr>
          <t xml:space="preserve">
</t>
        </r>
        <r>
          <rPr>
            <b/>
            <sz val="9"/>
            <rFont val="Tahoma"/>
            <family val="2"/>
          </rPr>
          <t>BIS = HMS (onsite gain) - HIS (onsite loss)</t>
        </r>
        <r>
          <rPr>
            <sz val="9"/>
            <rFont val="Tahoma"/>
            <family val="2"/>
          </rPr>
          <t xml:space="preserve">
+ biodiversity gain = green
- biodiversity loss = red</t>
        </r>
      </text>
    </comment>
    <comment ref="J83" authorId="0">
      <text>
        <r>
          <rPr>
            <b/>
            <sz val="9"/>
            <rFont val="Tahoma"/>
            <family val="2"/>
          </rPr>
          <t xml:space="preserve">Existing value of habitats to be restored:
</t>
        </r>
        <r>
          <rPr>
            <sz val="9"/>
            <rFont val="Tahoma"/>
            <family val="2"/>
          </rPr>
          <t>Use formula to make cell reflect respective habitat 'F' value of original habitat.
E.g.    =M15
This will mean only the additional biodiversity value of the restored habitat is calculated as part of the HMS.</t>
        </r>
      </text>
    </comment>
    <comment ref="M61" authorId="0">
      <text>
        <r>
          <rPr>
            <b/>
            <sz val="9"/>
            <rFont val="Tahoma"/>
            <family val="2"/>
          </rPr>
          <t>Habitat Impact Score:</t>
        </r>
        <r>
          <rPr>
            <sz val="9"/>
            <rFont val="Tahoma"/>
            <family val="2"/>
          </rPr>
          <t xml:space="preserve">
Biodiversity value of the habitats to be negatively impacted during development.</t>
        </r>
      </text>
    </comment>
    <comment ref="D14" authorId="0">
      <text>
        <r>
          <rPr>
            <b/>
            <sz val="9"/>
            <rFont val="Tahoma"/>
            <family val="2"/>
          </rPr>
          <t xml:space="preserve">Existing site:
</t>
        </r>
        <r>
          <rPr>
            <sz val="9"/>
            <rFont val="Tahoma"/>
            <family val="2"/>
          </rPr>
          <t>Please enter all habitats within the boundary of the existing site.
Are they to be directly impacted by the development, or retained?
If retained are they going to be restored ?</t>
        </r>
      </text>
    </comment>
    <comment ref="D66" authorId="0">
      <text>
        <r>
          <rPr>
            <b/>
            <sz val="9"/>
            <rFont val="Tahoma"/>
            <family val="2"/>
          </rPr>
          <t>Habitat creation:</t>
        </r>
        <r>
          <rPr>
            <sz val="9"/>
            <rFont val="Tahoma"/>
            <family val="2"/>
          </rPr>
          <t xml:space="preserve">
Enter all habitats to be created on site; development and habitat mitigation.
The area of habitat creation should be the same as the area of habitat loss.
</t>
        </r>
      </text>
    </comment>
    <comment ref="D83" authorId="0">
      <text>
        <r>
          <rPr>
            <b/>
            <sz val="9"/>
            <rFont val="Tahoma"/>
            <family val="2"/>
          </rPr>
          <t>Habitat enhancement:</t>
        </r>
        <r>
          <rPr>
            <sz val="9"/>
            <rFont val="Tahoma"/>
            <family val="2"/>
          </rPr>
          <t xml:space="preserve">
Enter all habitat which will be retained through development and will be restored/enhanced to a higher distinctiveness and/or condition.
This parcel of habitat must be entered in the top table in its existing habitat and condition and here it must be entered with its target habitat and condition, using the same area and linking the existing value of that parcel.</t>
        </r>
      </text>
    </comment>
    <comment ref="N103" authorId="0">
      <text>
        <r>
          <rPr>
            <sz val="9"/>
            <rFont val="Tahoma"/>
            <family val="2"/>
          </rPr>
          <t>Percentage of biodiversity impact (HIS) requiring compensation.
This is not the percentage loss to the whole site.</t>
        </r>
      </text>
    </comment>
    <comment ref="D48" authorId="0">
      <text>
        <r>
          <rPr>
            <b/>
            <sz val="9"/>
            <rFont val="Tahoma"/>
            <family val="2"/>
          </rPr>
          <t>Indirect negative impacts:</t>
        </r>
        <r>
          <rPr>
            <sz val="9"/>
            <rFont val="Tahoma"/>
            <family val="2"/>
          </rPr>
          <t xml:space="preserve">
Enter habitats likely to degrade from indirect impacts from the development.
E.G. light spillage, increased disturbance, pollution.
This section is not for habitat enhancement.
On site habitat enhancement should be filled in the sections above and below.</t>
        </r>
      </text>
    </comment>
  </commentList>
</comments>
</file>

<file path=xl/comments2.xml><?xml version="1.0" encoding="utf-8"?>
<comments xmlns="http://schemas.openxmlformats.org/spreadsheetml/2006/main">
  <authors>
    <author>Louise Martland</author>
  </authors>
  <commentList>
    <comment ref="F12" authorId="0">
      <text>
        <r>
          <rPr>
            <b/>
            <sz val="9"/>
            <rFont val="Tahoma"/>
            <family val="2"/>
          </rPr>
          <t>Linear distinctiveness:
Very high: 8
High: 6
Medium: 4
Low: 2</t>
        </r>
      </text>
    </comment>
    <comment ref="H12" authorId="0">
      <text>
        <r>
          <rPr>
            <b/>
            <sz val="9"/>
            <rFont val="Tahoma"/>
            <family val="2"/>
          </rPr>
          <t>Linear condition:
Good: 3
Moderate: 2
Poor: 1</t>
        </r>
      </text>
    </comment>
    <comment ref="M61" authorId="0">
      <text>
        <r>
          <rPr>
            <b/>
            <sz val="9"/>
            <rFont val="Tahoma"/>
            <family val="2"/>
          </rPr>
          <t>Linear Impact Score:</t>
        </r>
        <r>
          <rPr>
            <sz val="9"/>
            <rFont val="Tahoma"/>
            <family val="2"/>
          </rPr>
          <t xml:space="preserve">
Biodiversity value of the linear features to be negatively impacted during development.</t>
        </r>
      </text>
    </comment>
    <comment ref="F64" authorId="0">
      <text>
        <r>
          <rPr>
            <b/>
            <sz val="9"/>
            <rFont val="Tahoma"/>
            <family val="2"/>
          </rPr>
          <t>Linear distinctiveness:
Very high: 8
High: 6
Medium: 4
Low: 2</t>
        </r>
      </text>
    </comment>
    <comment ref="H64" authorId="0">
      <text>
        <r>
          <rPr>
            <b/>
            <sz val="9"/>
            <rFont val="Tahoma"/>
            <family val="2"/>
          </rPr>
          <t>Linear condition:
Good: 3
Moderate: 2
Poor: 1</t>
        </r>
      </text>
    </comment>
    <comment ref="K64" authorId="0">
      <text>
        <r>
          <rPr>
            <b/>
            <sz val="9"/>
            <rFont val="Tahoma"/>
            <family val="2"/>
          </rPr>
          <t>Time to target condition:
5 years: 1.2
10 years: 1.4
15 years: 1.7
20 years: 2.0
25 years: 2.4
30 years: 2.8
32+ years: 3.0</t>
        </r>
      </text>
    </comment>
    <comment ref="M64" authorId="0">
      <text>
        <r>
          <rPr>
            <b/>
            <sz val="9"/>
            <rFont val="Tahoma"/>
            <family val="2"/>
          </rPr>
          <t>Difficulty of habitat creation / restoration:</t>
        </r>
        <r>
          <rPr>
            <sz val="9"/>
            <rFont val="Tahoma"/>
            <family val="2"/>
          </rPr>
          <t xml:space="preserve">
</t>
        </r>
        <r>
          <rPr>
            <b/>
            <sz val="9"/>
            <rFont val="Tahoma"/>
            <family val="2"/>
          </rPr>
          <t>Very high: 10
High: 3
Medium: 1.5
Low: 1</t>
        </r>
      </text>
    </comment>
    <comment ref="J83" authorId="0">
      <text>
        <r>
          <rPr>
            <b/>
            <sz val="9"/>
            <rFont val="Tahoma"/>
            <family val="2"/>
          </rPr>
          <t xml:space="preserve">Existing value of linear features to be restored:
</t>
        </r>
        <r>
          <rPr>
            <sz val="9"/>
            <rFont val="Tahoma"/>
            <family val="2"/>
          </rPr>
          <t>Use formula to make cell reflect respective habitat 'F' value of original habitat.
E.g.    =M15
This will mean only the additional biodiversity value of the restored habitat is calculated as part of the LMS.</t>
        </r>
      </text>
    </comment>
    <comment ref="N100" authorId="0">
      <text>
        <r>
          <rPr>
            <b/>
            <sz val="9"/>
            <rFont val="Tahoma"/>
            <family val="2"/>
          </rPr>
          <t xml:space="preserve">LMS:
</t>
        </r>
        <r>
          <rPr>
            <sz val="9"/>
            <rFont val="Tahoma"/>
            <family val="2"/>
          </rPr>
          <t xml:space="preserve">Biodiversity value of on site linear mitigation measures.
</t>
        </r>
      </text>
    </comment>
    <comment ref="N102" authorId="0">
      <text>
        <r>
          <rPr>
            <b/>
            <sz val="9"/>
            <rFont val="Tahoma"/>
            <family val="2"/>
          </rPr>
          <t>Linear Biodiversity Impact Score:</t>
        </r>
        <r>
          <rPr>
            <sz val="9"/>
            <rFont val="Tahoma"/>
            <family val="2"/>
          </rPr>
          <t xml:space="preserve">
</t>
        </r>
        <r>
          <rPr>
            <b/>
            <sz val="9"/>
            <rFont val="Tahoma"/>
            <family val="2"/>
          </rPr>
          <t>LBIS = LMS (onsite gain) - LIS (onsite loss)</t>
        </r>
        <r>
          <rPr>
            <sz val="9"/>
            <rFont val="Tahoma"/>
            <family val="2"/>
          </rPr>
          <t xml:space="preserve">
+ biodiversity gain = green
- biodiversity loss = red</t>
        </r>
      </text>
    </comment>
  </commentList>
</comments>
</file>

<file path=xl/sharedStrings.xml><?xml version="1.0" encoding="utf-8"?>
<sst xmlns="http://schemas.openxmlformats.org/spreadsheetml/2006/main" count="1784" uniqueCount="365">
  <si>
    <t>Distinctiveness</t>
  </si>
  <si>
    <t>Condition</t>
  </si>
  <si>
    <t>A</t>
  </si>
  <si>
    <t>B</t>
  </si>
  <si>
    <t>C</t>
  </si>
  <si>
    <t>KEY</t>
  </si>
  <si>
    <t>K</t>
  </si>
  <si>
    <t>Calculation</t>
  </si>
  <si>
    <t>Overall Result</t>
  </si>
  <si>
    <t>Comment</t>
  </si>
  <si>
    <t>code</t>
  </si>
  <si>
    <t>T. Note</t>
  </si>
  <si>
    <t>Phase 1 Habitat Codes</t>
  </si>
  <si>
    <t>A111</t>
  </si>
  <si>
    <t>A112</t>
  </si>
  <si>
    <t>A121</t>
  </si>
  <si>
    <t>A122</t>
  </si>
  <si>
    <t>A131</t>
  </si>
  <si>
    <t>A132</t>
  </si>
  <si>
    <t>A21</t>
  </si>
  <si>
    <t>A22</t>
  </si>
  <si>
    <t>A31</t>
  </si>
  <si>
    <t>A32</t>
  </si>
  <si>
    <t>A4</t>
  </si>
  <si>
    <t>A5</t>
  </si>
  <si>
    <t>B11</t>
  </si>
  <si>
    <t>B12</t>
  </si>
  <si>
    <t>B21</t>
  </si>
  <si>
    <t>B22</t>
  </si>
  <si>
    <t>B31</t>
  </si>
  <si>
    <t>B32</t>
  </si>
  <si>
    <t>B4</t>
  </si>
  <si>
    <t>B5</t>
  </si>
  <si>
    <t>B6</t>
  </si>
  <si>
    <t>C11</t>
  </si>
  <si>
    <t>C31</t>
  </si>
  <si>
    <t>C32</t>
  </si>
  <si>
    <t>D5</t>
  </si>
  <si>
    <t>E11</t>
  </si>
  <si>
    <t>E21</t>
  </si>
  <si>
    <t>E32</t>
  </si>
  <si>
    <t>F1</t>
  </si>
  <si>
    <t>F22</t>
  </si>
  <si>
    <t>G1</t>
  </si>
  <si>
    <t>G2</t>
  </si>
  <si>
    <t>I21</t>
  </si>
  <si>
    <t>I22</t>
  </si>
  <si>
    <t>I24</t>
  </si>
  <si>
    <t>J11</t>
  </si>
  <si>
    <t>J112</t>
  </si>
  <si>
    <t>J113</t>
  </si>
  <si>
    <t>J12</t>
  </si>
  <si>
    <t>High</t>
  </si>
  <si>
    <t>Moderate</t>
  </si>
  <si>
    <t>Low</t>
  </si>
  <si>
    <t>J13</t>
  </si>
  <si>
    <t>J14</t>
  </si>
  <si>
    <t>J4</t>
  </si>
  <si>
    <t>J231</t>
  </si>
  <si>
    <t>A3</t>
  </si>
  <si>
    <t>I1</t>
  </si>
  <si>
    <t>J26</t>
  </si>
  <si>
    <t>J21</t>
  </si>
  <si>
    <t>J211</t>
  </si>
  <si>
    <t>J22</t>
  </si>
  <si>
    <t>J23</t>
  </si>
  <si>
    <t>J24</t>
  </si>
  <si>
    <t>J25</t>
  </si>
  <si>
    <t>J28</t>
  </si>
  <si>
    <t>Linear</t>
  </si>
  <si>
    <t>Good</t>
  </si>
  <si>
    <t>Poor</t>
  </si>
  <si>
    <t>Area (ha)</t>
  </si>
  <si>
    <t>Automatic lookup</t>
  </si>
  <si>
    <t>Action required</t>
  </si>
  <si>
    <t>Difficulty of restoration</t>
  </si>
  <si>
    <t>Medium</t>
  </si>
  <si>
    <t>Very High</t>
  </si>
  <si>
    <t>Difficulty</t>
  </si>
  <si>
    <t>Phase 1 Habitat Descriptions</t>
  </si>
  <si>
    <t>Score</t>
  </si>
  <si>
    <t>No action required</t>
  </si>
  <si>
    <t>Loss to biodiversity</t>
  </si>
  <si>
    <t>Gain to biodiversity</t>
  </si>
  <si>
    <t>Habitat Creation</t>
  </si>
  <si>
    <t>Time</t>
  </si>
  <si>
    <t>5 years</t>
  </si>
  <si>
    <t>10 years</t>
  </si>
  <si>
    <t>15 years</t>
  </si>
  <si>
    <t>20 years</t>
  </si>
  <si>
    <t>25 years</t>
  </si>
  <si>
    <t>30 years</t>
  </si>
  <si>
    <t>32+ years</t>
  </si>
  <si>
    <t>J</t>
  </si>
  <si>
    <t>M</t>
  </si>
  <si>
    <t>Time till target condition</t>
  </si>
  <si>
    <t>Target habitats distinctiveness</t>
  </si>
  <si>
    <t>Target habitat condition</t>
  </si>
  <si>
    <t>Time (years)</t>
  </si>
  <si>
    <t>Difficulty of creation / restoration</t>
  </si>
  <si>
    <t>Value of loss from indirect impacts</t>
  </si>
  <si>
    <t>Proposed habitats on site
(Onsite mitigation)</t>
  </si>
  <si>
    <t>Habitat distinctiveness</t>
  </si>
  <si>
    <t>Habitat condition</t>
  </si>
  <si>
    <t>Habitat biodiversity value</t>
  </si>
  <si>
    <t/>
  </si>
  <si>
    <t>Planning application reference number:</t>
  </si>
  <si>
    <t>Site name:</t>
  </si>
  <si>
    <t>Local Planning Authority:</t>
  </si>
  <si>
    <t>Please fill in both tables</t>
  </si>
  <si>
    <t>-</t>
  </si>
  <si>
    <t>Total</t>
  </si>
  <si>
    <t>n/a</t>
  </si>
  <si>
    <t>Habitat Impact Score (HIS)</t>
  </si>
  <si>
    <t>none</t>
  </si>
  <si>
    <t>Difficulty of creation</t>
  </si>
  <si>
    <t>Before/after impact</t>
  </si>
  <si>
    <t xml:space="preserve">Before </t>
  </si>
  <si>
    <t xml:space="preserve">After </t>
  </si>
  <si>
    <t>G</t>
  </si>
  <si>
    <t>N</t>
  </si>
  <si>
    <t>O</t>
  </si>
  <si>
    <t>Drop-down menu</t>
  </si>
  <si>
    <t>Date:</t>
  </si>
  <si>
    <t>low</t>
  </si>
  <si>
    <t>Linear features</t>
  </si>
  <si>
    <t>Woodland: Broad-leaved semi-natural woodland</t>
  </si>
  <si>
    <t>Woodland: Broad-leaved plantation</t>
  </si>
  <si>
    <t>Woodland: Coniferous semi-natural woodland</t>
  </si>
  <si>
    <t>Woodland: Coniferous plantation</t>
  </si>
  <si>
    <t>Woodland: Mixed semi-natural woodland</t>
  </si>
  <si>
    <t>Woodland: Mixed plantation</t>
  </si>
  <si>
    <t>Woodland: Wet woodland</t>
  </si>
  <si>
    <t>None</t>
  </si>
  <si>
    <t>Other: Spoil</t>
  </si>
  <si>
    <t>Other: Refuse tip</t>
  </si>
  <si>
    <t>Other: Arable</t>
  </si>
  <si>
    <t>Other: Allotments</t>
  </si>
  <si>
    <t>Other: Ephemeral/short perennial</t>
  </si>
  <si>
    <t>Other: Introduced shrub</t>
  </si>
  <si>
    <t>Other: Bare ground</t>
  </si>
  <si>
    <t>E</t>
  </si>
  <si>
    <t>K x A x B
= Li, Lii</t>
  </si>
  <si>
    <t>Li - Lii</t>
  </si>
  <si>
    <t>Result</t>
  </si>
  <si>
    <t>P</t>
  </si>
  <si>
    <t>Q</t>
  </si>
  <si>
    <t>R</t>
  </si>
  <si>
    <t>Woodland: Dense continuous scrub</t>
  </si>
  <si>
    <t>Woodland: Scattered scrub</t>
  </si>
  <si>
    <t>Woodland: Recently felled woodland</t>
  </si>
  <si>
    <t>Woodland: Orchard</t>
  </si>
  <si>
    <t>Grassland: Unimproved acidic grassland</t>
  </si>
  <si>
    <t>Grassland: Semi-improved acidic grassland</t>
  </si>
  <si>
    <t>Grassland: Unimproved neutral grassland</t>
  </si>
  <si>
    <t>Grassland: Semi-improved neutral grassland</t>
  </si>
  <si>
    <t>Grassland: Unimproved calcareous grassland</t>
  </si>
  <si>
    <t>Grassland: Semi-improved calcareous grassland</t>
  </si>
  <si>
    <t>Grassland: Poor semi-improved grassland</t>
  </si>
  <si>
    <t>Grassland: Improved grassland</t>
  </si>
  <si>
    <t>Grassland: Amenity grassland</t>
  </si>
  <si>
    <t>Grassland: Set-aside / Arable field margins</t>
  </si>
  <si>
    <t>Grassland: Marsh / Marshy grassland</t>
  </si>
  <si>
    <t>Wetland: Sphagnum Bog</t>
  </si>
  <si>
    <t>Wetland: Acid/neutral flush</t>
  </si>
  <si>
    <t>Wetland: Basin Mire</t>
  </si>
  <si>
    <t>Wetland: Swamp</t>
  </si>
  <si>
    <t>Wetland: Inundation vegetation</t>
  </si>
  <si>
    <t>Wetland: Standing water</t>
  </si>
  <si>
    <t>Wetland: Running water</t>
  </si>
  <si>
    <t>Wetland: Reedbed</t>
  </si>
  <si>
    <t>Built Environment: Buildings/hardstanding</t>
  </si>
  <si>
    <t>Built Environment: Gardens (lawn and planting)</t>
  </si>
  <si>
    <t>Boundaries: Fence</t>
  </si>
  <si>
    <t>Boundaries: Wall</t>
  </si>
  <si>
    <t>Boundaries: Dry stone wall</t>
  </si>
  <si>
    <t>Ditches: Dry ditch</t>
  </si>
  <si>
    <t>Other: Inland cliff</t>
  </si>
  <si>
    <t>Other: Earth bank</t>
  </si>
  <si>
    <t>Ditches: Running water</t>
  </si>
  <si>
    <t>Ditches: Standing water</t>
  </si>
  <si>
    <t>Hedges: Native species rich hedge with trees</t>
  </si>
  <si>
    <t>Hedges: Hedge with trees</t>
  </si>
  <si>
    <t>Hedges: Defunct hedge</t>
  </si>
  <si>
    <t>Hedges: Native species rich intact hedge</t>
  </si>
  <si>
    <t>Hedges: Intact hedge</t>
  </si>
  <si>
    <t>Hedges: Linear trees</t>
  </si>
  <si>
    <t>Hedges: Linear scrub</t>
  </si>
  <si>
    <t>Other: Continuous bracken</t>
  </si>
  <si>
    <t>Other: Tall ruderal</t>
  </si>
  <si>
    <t>Other: Non-ruderal</t>
  </si>
  <si>
    <t>A x B x C = D</t>
  </si>
  <si>
    <t>A x B x E = F</t>
  </si>
  <si>
    <t>A x B x G = H</t>
  </si>
  <si>
    <t>∑D + ∑F + ∑H</t>
  </si>
  <si>
    <t>HIS = J + M</t>
  </si>
  <si>
    <t>Habitat Biodiversity Value</t>
  </si>
  <si>
    <t>Existing value</t>
  </si>
  <si>
    <r>
      <t xml:space="preserve">Area </t>
    </r>
    <r>
      <rPr>
        <i/>
        <sz val="10"/>
        <rFont val="Arial"/>
        <family val="2"/>
      </rPr>
      <t>(ha)</t>
    </r>
  </si>
  <si>
    <r>
      <t xml:space="preserve">Habitats to be </t>
    </r>
    <r>
      <rPr>
        <b/>
        <u val="single"/>
        <sz val="10"/>
        <rFont val="Arial"/>
        <family val="2"/>
      </rPr>
      <t>retained</t>
    </r>
    <r>
      <rPr>
        <b/>
        <sz val="10"/>
        <rFont val="Arial"/>
        <family val="2"/>
      </rPr>
      <t xml:space="preserve"> with no change within development</t>
    </r>
  </si>
  <si>
    <r>
      <t xml:space="preserve">Habitats to be </t>
    </r>
    <r>
      <rPr>
        <b/>
        <u val="single"/>
        <sz val="10"/>
        <rFont val="Arial"/>
        <family val="2"/>
      </rPr>
      <t>lost</t>
    </r>
    <r>
      <rPr>
        <b/>
        <sz val="10"/>
        <rFont val="Arial"/>
        <family val="2"/>
      </rPr>
      <t xml:space="preserve"> within development</t>
    </r>
  </si>
  <si>
    <t>Planning reference number:</t>
  </si>
  <si>
    <r>
      <rPr>
        <sz val="10"/>
        <rFont val="Arial"/>
        <family val="2"/>
      </rPr>
      <t xml:space="preserve">email:  </t>
    </r>
    <r>
      <rPr>
        <sz val="10"/>
        <rFont val="Arial"/>
        <family val="2"/>
      </rPr>
      <t>planningecology@warwickshire.gov.uk</t>
    </r>
  </si>
  <si>
    <t>tel:      01926 418060</t>
  </si>
  <si>
    <t>email:  lmartland@environmentbank.com</t>
  </si>
  <si>
    <t>tel:      01926 412772</t>
  </si>
  <si>
    <t xml:space="preserve">If there is an anticipated loss to biodiversity and no further ecological enhancements can be incorporated within the development it may be possible to compensate for this loss through a biodiversity offsetting scheme. </t>
  </si>
  <si>
    <t>Please contact The Environment Bank for discussions on potential receptor sites in your area:</t>
  </si>
  <si>
    <t>Existing value S ( = F )</t>
  </si>
  <si>
    <t>Phase 1 habitat description</t>
  </si>
  <si>
    <t>Grassland: Dry heath / Acidic grassland mosaic</t>
  </si>
  <si>
    <t>Biodiversity Impact Assessment Summary</t>
  </si>
  <si>
    <t>For any questions with regard to biodiversity impact and this development please contact Warwickshire County Council Ecological Services:</t>
  </si>
  <si>
    <t>Trading down correction value</t>
  </si>
  <si>
    <t>Existing Site</t>
  </si>
  <si>
    <t>Existing habitat</t>
  </si>
  <si>
    <t>Low distinctiveness habitat loss biodiversity value</t>
  </si>
  <si>
    <t>Medium distinctiveness habitat loss biodiversity value</t>
  </si>
  <si>
    <t>High distinctiveness habitat loss biodiversity value</t>
  </si>
  <si>
    <t>TOTAL</t>
  </si>
  <si>
    <t>Proposed Site</t>
  </si>
  <si>
    <t>Area of habitat creation</t>
  </si>
  <si>
    <t>Trading Down Correction</t>
  </si>
  <si>
    <t>Value of existing habitat loss per distinctiveness</t>
  </si>
  <si>
    <t xml:space="preserve">Value of created habitats per distinctiveness </t>
  </si>
  <si>
    <t>Please do not edit the formulae or structure</t>
  </si>
  <si>
    <t>If additional rows are required,</t>
  </si>
  <si>
    <t>or to provide feedback on the calculator</t>
  </si>
  <si>
    <t>please contact WCC Ecological Services</t>
  </si>
  <si>
    <t>Proposed habitat creation</t>
  </si>
  <si>
    <t>Area</t>
  </si>
  <si>
    <t xml:space="preserve">CAUTION - Destruction of habitats of high distinctiveness, e.g. lowland meadow or ancient woodland, may be against local policy. Has the mitigation hierarchy been followed, can impact to these habitats be avoided? </t>
  </si>
  <si>
    <t>Any unavoidable loss of habitats of high distinctiveness must be replaced like-for like.</t>
  </si>
  <si>
    <t xml:space="preserve">To condense the form for display hide vacant </t>
  </si>
  <si>
    <t>rows, do not delete them</t>
  </si>
  <si>
    <t>Enter value</t>
  </si>
  <si>
    <t>Existing linear features on site</t>
  </si>
  <si>
    <t>Linear distinctiveness</t>
  </si>
  <si>
    <t>Linear condition</t>
  </si>
  <si>
    <t>Linear Biodiversity Value</t>
  </si>
  <si>
    <r>
      <t xml:space="preserve">Linear features to be </t>
    </r>
    <r>
      <rPr>
        <b/>
        <u val="single"/>
        <sz val="10"/>
        <rFont val="Arial"/>
        <family val="2"/>
      </rPr>
      <t>retained</t>
    </r>
    <r>
      <rPr>
        <b/>
        <sz val="10"/>
        <rFont val="Arial"/>
        <family val="2"/>
      </rPr>
      <t xml:space="preserve"> with no change within development</t>
    </r>
  </si>
  <si>
    <r>
      <t xml:space="preserve">Linear features to be </t>
    </r>
    <r>
      <rPr>
        <b/>
        <u val="single"/>
        <sz val="10"/>
        <rFont val="Arial"/>
        <family val="2"/>
      </rPr>
      <t>lost</t>
    </r>
    <r>
      <rPr>
        <b/>
        <sz val="10"/>
        <rFont val="Arial"/>
        <family val="2"/>
      </rPr>
      <t xml:space="preserve"> within development</t>
    </r>
  </si>
  <si>
    <t>Linear Features</t>
  </si>
  <si>
    <t>Hedges and other linear features can offer a higher biodiversity value per length than a standard area of habitat due to factors such as connectivity and must therefore be compensated for in parallel to the standard metric.</t>
  </si>
  <si>
    <t>Linear Impact Score (LIS)</t>
  </si>
  <si>
    <t>Site Linear Biodiversity Value</t>
  </si>
  <si>
    <t>Site habitat biodiversity value</t>
  </si>
  <si>
    <t>Proposed linear features on site
(Onsite mitigation)</t>
  </si>
  <si>
    <t>Linear Creation</t>
  </si>
  <si>
    <t>Target linear distinctiveness</t>
  </si>
  <si>
    <t>Target linear condition</t>
  </si>
  <si>
    <t>Habitat Mitigation Score (HMS)</t>
  </si>
  <si>
    <t>Linear Mitigation Score (LMS)</t>
  </si>
  <si>
    <t>Percentage of linear impact loss</t>
  </si>
  <si>
    <t>Percentage of biodiversity impact loss</t>
  </si>
  <si>
    <t>Very high</t>
  </si>
  <si>
    <t>Warwickshire Coventry and Solihull - Biodiversity Impact Assessment Calculator - Linear Features</t>
  </si>
  <si>
    <t>Warwickshire Coventry and Solihull - Biodiversity Impact Assessment Calculator</t>
  </si>
  <si>
    <t>Linear biodiversity value</t>
  </si>
  <si>
    <t>Linear Biodiversity Impact Score</t>
  </si>
  <si>
    <t>LBIS = LMS - LIS</t>
  </si>
  <si>
    <t>Habitat trading down correction calculator</t>
  </si>
  <si>
    <t>Existing linear features</t>
  </si>
  <si>
    <t>High distinctiveness linear loss biodiversity value</t>
  </si>
  <si>
    <t>Medium distinctiveness linear loss biodiversity value</t>
  </si>
  <si>
    <t>Low distinctiveness linear loss biodiversity value</t>
  </si>
  <si>
    <t>Habitat area (ha)</t>
  </si>
  <si>
    <t>High distinctiveness proposed linear biodiversity value</t>
  </si>
  <si>
    <t>Medium distinctiveness proposed linear biodiversity value</t>
  </si>
  <si>
    <t>Low distinctiveness proposed linear biodiversity value</t>
  </si>
  <si>
    <t>Never</t>
  </si>
  <si>
    <t>Surplus gain to be carried over to compensate loss of lower habitats (rolls over)</t>
  </si>
  <si>
    <t xml:space="preserve">Would this result in trading down habitats?                                                </t>
  </si>
  <si>
    <t>If no, value each distinctiveness still requiring compensation</t>
  </si>
  <si>
    <t>Habitats</t>
  </si>
  <si>
    <t>Habitat Biodiversity Impact Score</t>
  </si>
  <si>
    <t>HBIS = HMS - HIS</t>
  </si>
  <si>
    <t>Total existing length onsite</t>
  </si>
  <si>
    <t>Total existing area onsite</t>
  </si>
  <si>
    <t>(( N x O x P) - S)    / Q / R</t>
  </si>
  <si>
    <t>(N x O x P)             / Q / R</t>
  </si>
  <si>
    <t>(N x O x P)              / Q / R</t>
  </si>
  <si>
    <t>Length</t>
  </si>
  <si>
    <t>CAUTION - Destruction of each habitat of medium distinctiveness and above should be mitigated for with creation/restoration of a similar habitat. Trading up of habitat type is encouraged.</t>
  </si>
  <si>
    <t>Habitats negatively impacted by development Habitat Impact Score</t>
  </si>
  <si>
    <t>On site habitat mitigation                              Habitat Mitigation Score</t>
  </si>
  <si>
    <t>Linear features negatively impacted by development  Linear Impact Score</t>
  </si>
  <si>
    <t>On site linear mitigation                                 Linear Mitigation Score</t>
  </si>
  <si>
    <t>Percentage of linear biodiversity impact</t>
  </si>
  <si>
    <t>Percentage of biodiversity impact</t>
  </si>
  <si>
    <t>Direct Impacts and retained habitats</t>
  </si>
  <si>
    <t>Direct Impacts and retained features</t>
  </si>
  <si>
    <t>Hedges: Introduced shrub</t>
  </si>
  <si>
    <r>
      <t xml:space="preserve">Existing habitats on site
</t>
    </r>
    <r>
      <rPr>
        <sz val="10"/>
        <rFont val="Arial"/>
        <family val="2"/>
      </rPr>
      <t xml:space="preserve">Please enter </t>
    </r>
    <r>
      <rPr>
        <u val="single"/>
        <sz val="10"/>
        <rFont val="Arial"/>
        <family val="2"/>
      </rPr>
      <t>all</t>
    </r>
    <r>
      <rPr>
        <sz val="10"/>
        <rFont val="Arial"/>
        <family val="2"/>
      </rPr>
      <t xml:space="preserve"> habitats within the site boundary</t>
    </r>
  </si>
  <si>
    <t>Including off site habitats</t>
  </si>
  <si>
    <t>Direct impacts</t>
  </si>
  <si>
    <t>Indirect impacts</t>
  </si>
  <si>
    <t>Area of habitat impact</t>
  </si>
  <si>
    <t>Linear trading down correction</t>
  </si>
  <si>
    <t>Linear trading down correction calculator</t>
  </si>
  <si>
    <t>Assessor:</t>
  </si>
  <si>
    <r>
      <t xml:space="preserve">Habitats to be retained and </t>
    </r>
    <r>
      <rPr>
        <b/>
        <u val="single"/>
        <sz val="10"/>
        <rFont val="Arial"/>
        <family val="2"/>
      </rPr>
      <t>enhanced</t>
    </r>
    <r>
      <rPr>
        <b/>
        <sz val="10"/>
        <rFont val="Arial"/>
        <family val="2"/>
      </rPr>
      <t xml:space="preserve"> within development</t>
    </r>
  </si>
  <si>
    <t>Habitat Enhancement</t>
  </si>
  <si>
    <r>
      <t xml:space="preserve">Linear features to be retained and </t>
    </r>
    <r>
      <rPr>
        <b/>
        <u val="single"/>
        <sz val="10"/>
        <rFont val="Arial"/>
        <family val="2"/>
      </rPr>
      <t>enhanced</t>
    </r>
    <r>
      <rPr>
        <b/>
        <sz val="10"/>
        <rFont val="Arial"/>
        <family val="2"/>
      </rPr>
      <t xml:space="preserve"> within development</t>
    </r>
  </si>
  <si>
    <t>Feature length (km)</t>
  </si>
  <si>
    <t>Length (km)</t>
  </si>
  <si>
    <t>Medium-Low</t>
  </si>
  <si>
    <t>Medium-High</t>
  </si>
  <si>
    <t>length of loss (km)</t>
  </si>
  <si>
    <t>Length of feature (km)</t>
  </si>
  <si>
    <t>Medium-High distinctiveness linear loss biodiversity value</t>
  </si>
  <si>
    <t>Medium-Low distinctiveness linear loss biodiversity value</t>
  </si>
  <si>
    <t>Medium-High distinctiveness proposed linear biodiversity value</t>
  </si>
  <si>
    <t>Medium-Low distinctiveness proposed linear biodiversity value</t>
  </si>
  <si>
    <t>Medium-High distinctiveness habitat loss biodiversity value</t>
  </si>
  <si>
    <t>Medium-Low distinctiveness habitat loss biodiversity value</t>
  </si>
  <si>
    <t>High distinctiveness proposed biodiversity value</t>
  </si>
  <si>
    <t>Medium-High distinctiveness proposed biodiversity value</t>
  </si>
  <si>
    <t>Medium distinctiveness proposed biodiversity value</t>
  </si>
  <si>
    <t>Medium-Low distinctiveness proposed biodiversity value</t>
  </si>
  <si>
    <t>Low distinctiveness proposed biodiversity value</t>
  </si>
  <si>
    <t>Proposed habitat enhancement</t>
  </si>
  <si>
    <t>Proposed linear creation</t>
  </si>
  <si>
    <t>Proposed linear enhancement</t>
  </si>
  <si>
    <t>Linear Enhancement</t>
  </si>
  <si>
    <t>This calculator assess whether there is any down trading in habitats value. E.g. loss of high distinctiveness habitat cannot be compensated for by surpluss medium mitigation. It calculates a correction value which enters into the primary calculator to take this into account. Such that the full level of high habitat loss compensation is required. However if additional medium gain is generated above the value of the high loss, this surplus is still be taken into account with on site gain.</t>
  </si>
  <si>
    <t>This calculator assess whether there is any down trading in linear habitats. E.g. loss of high distinctiveness habitat and surplus creation of medium or low habitats. It calculates a correction value which enters into the primary calculator to take this into account. Such that the full level of high habitat loss compensation is required. However if additional medium gain is generated above the value of the high loss, this surplus is still be taken into account with on site gain.</t>
  </si>
  <si>
    <t>Other: Green roof</t>
  </si>
  <si>
    <t>Other: Green wall</t>
  </si>
  <si>
    <t>Other: Quarry</t>
  </si>
  <si>
    <t xml:space="preserve">Other: Quarry </t>
  </si>
  <si>
    <t xml:space="preserve">Habitats for creation </t>
  </si>
  <si>
    <t>Habitats for restoration</t>
  </si>
  <si>
    <r>
      <rPr>
        <b/>
        <sz val="10"/>
        <rFont val="Arial"/>
        <family val="2"/>
      </rPr>
      <t xml:space="preserve">Habitat Biodiversity Impact Score 
</t>
    </r>
    <r>
      <rPr>
        <sz val="10"/>
        <rFont val="Arial"/>
        <family val="2"/>
      </rPr>
      <t>If -ve further compensation required</t>
    </r>
  </si>
  <si>
    <r>
      <rPr>
        <b/>
        <sz val="10"/>
        <rFont val="Arial"/>
        <family val="2"/>
      </rPr>
      <t xml:space="preserve">Linear Biodiversity Impact Score
</t>
    </r>
    <r>
      <rPr>
        <sz val="10"/>
        <rFont val="Arial"/>
        <family val="2"/>
      </rPr>
      <t>If -ve further compensation required</t>
    </r>
  </si>
  <si>
    <t>Woodland: Scattered trees</t>
  </si>
  <si>
    <t>Woodland: Broad-leaved parkland</t>
  </si>
  <si>
    <t>Woodland: Coniferous parkland</t>
  </si>
  <si>
    <t>Indirect Negative Impacts</t>
  </si>
  <si>
    <t>v. 18.3 08/08/2014</t>
  </si>
  <si>
    <t>Amendment from v18.2 only affects green roofs, for other habitats v18.2 still usable.</t>
  </si>
  <si>
    <t>Mostly blackthorn, in dense thickets</t>
  </si>
  <si>
    <t>MG6b -  in appr. management but lower species diversity</t>
  </si>
  <si>
    <t>Semi-improved grassland communities (MG9) with elements of lowland meadow (MG4). Heavy scrub encroachment (&gt;5%), wildflower cover low due to crowding out by grasses, high frequency of undesirable species</t>
  </si>
  <si>
    <t>Meet all conditions of FEP assessment for good condition, but invert. surveys show poor diversity</t>
  </si>
  <si>
    <t>Very little dead wood, very dense canopy and brambles mean little ground flora</t>
  </si>
  <si>
    <t>Swamp and tall herb fen - high occurrence of scrub and dead vegetation</t>
  </si>
  <si>
    <t>Low distinctiveness and diversity</t>
  </si>
  <si>
    <t>MG10 and marshy grassland, lots of scrub encroachment</t>
  </si>
  <si>
    <t>MG10 within managed field, low diversity and small patches but no scrub</t>
  </si>
  <si>
    <t>Value of 70% built to 30% garden/green space assumed (no data currently available)</t>
  </si>
  <si>
    <t>Grassland seeding on areas of removed scrub/ruderal. Will improve in quality over time with appropriate management. Hope to reach good condition after 10 years. Remainder of scrub/ruderal lost to development.</t>
  </si>
  <si>
    <t>Will be created in close proximity to existing ponds, within current poor SI fields. Should begin to support GCN and other species fairly quickly.</t>
  </si>
  <si>
    <t>Fairly young woodland. Maturation and light management to open up and dead wood will mean reaches good condition.</t>
  </si>
  <si>
    <t>Removal of scrub and dead vegetation and commencement of management will restore former value.</t>
  </si>
  <si>
    <t xml:space="preserve">Combination of all poor and rich SI. Removal of scattered scrub, ruderal encroachment, commencement of management to open up sward, some seeding. Appropriate management will increase value of grasslands, to reach good quality unimproved after 5 years. </t>
  </si>
  <si>
    <t>Planting of aquatic plants, addition of new ponds, enhancement of surrounding habitats will all increase value.</t>
  </si>
  <si>
    <t>Cherwell DC</t>
  </si>
  <si>
    <t>Gavray Drive (East)</t>
  </si>
  <si>
    <t>Rob Rowlands / David Lowe</t>
  </si>
  <si>
    <t>Dense scrub to be thinned out to scattered scrub</t>
  </si>
  <si>
    <t>Low species diversity, some gaps</t>
  </si>
  <si>
    <t>Meet all FEP conditions, higher diversity.</t>
  </si>
  <si>
    <t>Scrub choked</t>
  </si>
  <si>
    <t>Gap planting with additional species to increase diversity</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</si>
</sst>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_-&quot;£&quot;* #,##0_-;\-&quot;£&quot;* #,##0_-;_-&quot;£&quot;* &quot;-&quot;_-;_-@_-"/>
    <numFmt numFmtId="169" formatCode="_-* #,##0_-;\-* #,##0_-;_-* &quot;-&quot;_-;_-@_-"/>
    <numFmt numFmtId="170" formatCode="_-&quot;£&quot;* #,##0.00_-;\-&quot;£&quot;* #,##0.00_-;_-&quot;£&quot;* &quot;-&quot;??_-;_-@_-"/>
    <numFmt numFmtId="171" formatCode="_-* #,##0.00_-;\-* #,##0.00_-;_-* &quot;-&quot;??_-;_-@_-"/>
  </numFmts>
  <fonts count="51">
    <font>
      <sz val="10"/>
      <name val="Arial"/>
      <family val="0"/>
    </font>
    <font>
      <sz val="12"/>
      <color indexed="8"/>
      <name val="Arial"/>
      <family val="2"/>
    </font>
    <font>
      <b/>
      <sz val="10"/>
      <name val="Arial"/>
      <family val="2"/>
    </font>
    <font>
      <i/>
      <sz val="10"/>
      <name val="Arial"/>
      <family val="2"/>
    </font>
    <font>
      <b/>
      <i/>
      <sz val="10"/>
      <name val="Arial"/>
      <family val="2"/>
    </font>
    <font>
      <sz val="10"/>
      <color indexed="9"/>
      <name val="Arial"/>
      <family val="2"/>
    </font>
    <font>
      <sz val="8"/>
      <name val="Arial"/>
      <family val="2"/>
    </font>
    <font>
      <b/>
      <u val="single"/>
      <sz val="10"/>
      <name val="Arial"/>
      <family val="2"/>
    </font>
    <font>
      <sz val="9"/>
      <name val="Tahoma"/>
      <family val="2"/>
    </font>
    <font>
      <b/>
      <sz val="9"/>
      <name val="Tahoma"/>
      <family val="2"/>
    </font>
    <font>
      <b/>
      <sz val="10"/>
      <color indexed="9"/>
      <name val="Arial"/>
      <family val="2"/>
    </font>
    <font>
      <u val="single"/>
      <sz val="10"/>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10"/>
      <color indexed="10"/>
      <name val="Arial"/>
      <family val="2"/>
    </font>
    <font>
      <sz val="8"/>
      <name val="Segoe UI"/>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sz val="10"/>
      <color rgb="FFFF0000"/>
      <name val="Arial"/>
      <family val="2"/>
    </font>
    <font>
      <sz val="10"/>
      <color theme="0"/>
      <name val="Arial"/>
      <family val="2"/>
    </font>
    <font>
      <b/>
      <sz val="10"/>
      <color theme="0"/>
      <name val="Arial"/>
      <family val="2"/>
    </font>
    <font>
      <b/>
      <sz val="8"/>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1" tint="0.15000000596046448"/>
        <bgColor indexed="64"/>
      </patternFill>
    </fill>
    <fill>
      <patternFill patternType="solid">
        <fgColor theme="1" tint="0.24998000264167786"/>
        <bgColor indexed="64"/>
      </patternFill>
    </fill>
    <fill>
      <patternFill patternType="solid">
        <fgColor rgb="FF00B050"/>
        <bgColor indexed="64"/>
      </patternFill>
    </fill>
    <fill>
      <patternFill patternType="solid">
        <fgColor rgb="FF92D050"/>
        <bgColor indexed="64"/>
      </patternFill>
    </fill>
    <fill>
      <patternFill patternType="solid">
        <fgColor indexed="9"/>
        <bgColor indexed="64"/>
      </patternFill>
    </fill>
    <fill>
      <patternFill patternType="solid">
        <fgColor indexed="63"/>
        <bgColor indexed="64"/>
      </patternFill>
    </fill>
    <fill>
      <patternFill patternType="solid">
        <fgColor indexed="47"/>
        <bgColor indexed="64"/>
      </patternFill>
    </fill>
    <fill>
      <patternFill patternType="solid">
        <fgColor theme="9" tint="-0.24997000396251678"/>
        <bgColor indexed="64"/>
      </patternFill>
    </fill>
    <fill>
      <patternFill patternType="solid">
        <fgColor rgb="FFFF0000"/>
        <bgColor indexed="64"/>
      </patternFill>
    </fill>
    <fill>
      <patternFill patternType="solid">
        <fgColor rgb="FFFFFF00"/>
        <bgColor indexed="64"/>
      </patternFill>
    </fill>
  </fills>
  <borders count="8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thin"/>
    </border>
    <border>
      <left style="medium"/>
      <right/>
      <top style="thin"/>
      <bottom style="medium"/>
    </border>
    <border>
      <left style="thin"/>
      <right style="medium"/>
      <top style="thin"/>
      <bottom style="thin"/>
    </border>
    <border>
      <left style="thin"/>
      <right style="thin"/>
      <top style="medium"/>
      <bottom/>
    </border>
    <border>
      <left style="medium"/>
      <right style="thin"/>
      <top style="medium"/>
      <bottom/>
    </border>
    <border>
      <left style="medium"/>
      <right style="thin"/>
      <top/>
      <bottom style="medium"/>
    </border>
    <border>
      <left style="thin"/>
      <right style="thin"/>
      <top/>
      <bottom style="medium"/>
    </border>
    <border>
      <left style="medium"/>
      <right style="thin"/>
      <top/>
      <bottom/>
    </border>
    <border>
      <left style="thin"/>
      <right style="thin"/>
      <top/>
      <bottom/>
    </border>
    <border>
      <left style="thin"/>
      <right/>
      <top/>
      <bottom style="medium"/>
    </border>
    <border>
      <left style="thin"/>
      <right/>
      <top style="medium"/>
      <bottom>
        <color indexed="63"/>
      </bottom>
    </border>
    <border>
      <left style="thin"/>
      <right>
        <color indexed="63"/>
      </right>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medium"/>
    </border>
    <border>
      <left/>
      <right/>
      <top/>
      <bottom style="medium"/>
    </border>
    <border>
      <left style="medium"/>
      <right/>
      <top/>
      <bottom style="medium"/>
    </border>
    <border>
      <left/>
      <right style="medium"/>
      <top/>
      <bottom style="medium"/>
    </border>
    <border>
      <left/>
      <right style="thin"/>
      <top style="medium"/>
      <bottom style="medium"/>
    </border>
    <border>
      <left/>
      <right style="thin"/>
      <top style="thin"/>
      <bottom style="thin"/>
    </border>
    <border>
      <left/>
      <right style="medium"/>
      <top style="medium"/>
      <bottom style="medium"/>
    </border>
    <border>
      <left style="medium"/>
      <right/>
      <top style="medium"/>
      <bottom style="medium"/>
    </border>
    <border>
      <left style="thin"/>
      <right style="medium"/>
      <top/>
      <bottom style="thin"/>
    </border>
    <border>
      <left/>
      <right style="thin"/>
      <top style="medium"/>
      <bottom style="thin"/>
    </border>
    <border>
      <left style="thin"/>
      <right style="medium"/>
      <top style="medium"/>
      <bottom style="thin"/>
    </border>
    <border>
      <left/>
      <right style="thin"/>
      <top style="thin"/>
      <bottom style="medium"/>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right style="medium"/>
      <top style="medium"/>
      <bottom style="thin"/>
    </border>
    <border>
      <left style="thin"/>
      <right/>
      <top style="medium"/>
      <bottom style="thin"/>
    </border>
    <border>
      <left style="thin"/>
      <right/>
      <top style="thin"/>
      <bottom style="thin"/>
    </border>
    <border>
      <left style="thin"/>
      <right/>
      <top style="thin"/>
      <bottom style="medium"/>
    </border>
    <border>
      <left style="thin"/>
      <right style="thin"/>
      <top style="medium"/>
      <bottom style="thin"/>
    </border>
    <border>
      <left style="thin"/>
      <right style="thin"/>
      <top style="thin"/>
      <bottom style="thin"/>
    </border>
    <border>
      <left style="thin"/>
      <right style="thin"/>
      <top style="thin"/>
      <bottom style="medium"/>
    </border>
    <border>
      <left style="medium"/>
      <right/>
      <top style="medium"/>
      <bottom/>
    </border>
    <border>
      <left/>
      <right style="medium"/>
      <top style="medium"/>
      <bottom/>
    </border>
    <border>
      <left style="medium"/>
      <right style="thin"/>
      <top/>
      <bottom style="thin"/>
    </border>
    <border>
      <left style="medium"/>
      <right/>
      <top/>
      <bottom/>
    </border>
    <border>
      <left/>
      <right/>
      <top style="medium"/>
      <bottom/>
    </border>
    <border>
      <left/>
      <right style="medium"/>
      <top/>
      <bottom/>
    </border>
    <border>
      <left style="medium"/>
      <right style="medium"/>
      <top style="medium"/>
      <bottom/>
    </border>
    <border>
      <left/>
      <right style="medium"/>
      <top style="thin"/>
      <bottom style="thin"/>
    </border>
    <border>
      <left style="medium"/>
      <right style="medium"/>
      <top style="medium"/>
      <bottom style="thin"/>
    </border>
    <border>
      <left style="medium"/>
      <right style="medium"/>
      <top style="thin"/>
      <bottom style="thin"/>
    </border>
    <border>
      <left/>
      <right style="thin"/>
      <top/>
      <bottom/>
    </border>
    <border>
      <left style="medium"/>
      <right style="medium"/>
      <top/>
      <bottom style="medium"/>
    </border>
    <border>
      <left/>
      <right/>
      <top style="thin"/>
      <bottom style="thin"/>
    </border>
    <border>
      <left/>
      <right/>
      <top style="thin"/>
      <bottom style="medium"/>
    </border>
    <border>
      <left style="medium"/>
      <right/>
      <top style="thin"/>
      <bottom style="thin"/>
    </border>
    <border>
      <left/>
      <right/>
      <top/>
      <bottom style="thin"/>
    </border>
    <border>
      <left style="thin"/>
      <right style="medium"/>
      <top style="medium"/>
      <bottom/>
    </border>
    <border>
      <left style="thin"/>
      <right style="medium"/>
      <top/>
      <bottom/>
    </border>
    <border>
      <left/>
      <right style="thin"/>
      <top style="medium"/>
      <bottom/>
    </border>
    <border>
      <left/>
      <right style="thin"/>
      <top/>
      <bottom style="medium"/>
    </border>
    <border>
      <left style="thin"/>
      <right style="medium"/>
      <top/>
      <bottom style="medium"/>
    </border>
    <border>
      <left style="medium"/>
      <right style="medium"/>
      <top/>
      <bottom/>
    </border>
    <border>
      <left style="medium"/>
      <right style="medium"/>
      <top style="thin"/>
      <bottom style="medium"/>
    </border>
    <border>
      <left/>
      <right style="medium"/>
      <top style="thin"/>
      <bottom style="medium"/>
    </border>
    <border>
      <left/>
      <right/>
      <top style="medium"/>
      <bottom style="thin"/>
    </border>
    <border>
      <left style="thin"/>
      <right style="thin"/>
      <top style="thin"/>
      <bottom>
        <color indexed="63"/>
      </bottom>
    </border>
    <border>
      <left style="thin"/>
      <right/>
      <top style="thin"/>
      <bottom/>
    </border>
    <border>
      <left style="medium"/>
      <right style="thin"/>
      <top style="thin"/>
      <bottom/>
    </border>
    <border>
      <left style="thin"/>
      <right style="thin"/>
      <top/>
      <bottom style="thin"/>
    </border>
    <border>
      <left style="thin"/>
      <right style="medium"/>
      <top style="thin"/>
      <bottom/>
    </border>
    <border>
      <left style="medium"/>
      <right/>
      <top/>
      <bottom style="thin"/>
    </border>
    <border>
      <left style="medium"/>
      <right/>
      <top style="thin"/>
      <bottom/>
    </border>
    <border>
      <left/>
      <right/>
      <top style="medium"/>
      <bottom style="medium"/>
    </border>
    <border>
      <left style="thin"/>
      <right>
        <color indexed="63"/>
      </right>
      <top style="medium"/>
      <bottom style="medium"/>
    </border>
    <border>
      <left/>
      <right style="medium"/>
      <top/>
      <bottom style="thin"/>
    </border>
    <border>
      <left/>
      <right/>
      <top style="thin"/>
      <bottom/>
    </border>
    <border>
      <left>
        <color indexed="63"/>
      </left>
      <right style="thin"/>
      <top style="thin"/>
      <bottom/>
    </border>
    <border>
      <left style="thin"/>
      <right/>
      <top/>
      <bottom style="thin"/>
    </border>
    <border>
      <left/>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841">
    <xf numFmtId="0" fontId="0" fillId="0" borderId="0" xfId="0" applyAlignment="1">
      <alignment/>
    </xf>
    <xf numFmtId="0" fontId="0" fillId="0" borderId="0" xfId="0" applyFont="1" applyAlignment="1">
      <alignment/>
    </xf>
    <xf numFmtId="0" fontId="0" fillId="33" borderId="0" xfId="0" applyFont="1" applyFill="1" applyAlignment="1">
      <alignment/>
    </xf>
    <xf numFmtId="0" fontId="0" fillId="33" borderId="0" xfId="0" applyFont="1" applyFill="1" applyBorder="1" applyAlignment="1">
      <alignment/>
    </xf>
    <xf numFmtId="0" fontId="0" fillId="33" borderId="0" xfId="0" applyFont="1" applyFill="1" applyBorder="1" applyAlignment="1">
      <alignment horizontal="center"/>
    </xf>
    <xf numFmtId="0" fontId="0" fillId="33" borderId="0" xfId="0" applyFont="1" applyFill="1" applyAlignment="1">
      <alignment/>
    </xf>
    <xf numFmtId="0" fontId="0" fillId="0" borderId="0" xfId="0" applyFont="1" applyFill="1" applyAlignment="1">
      <alignment/>
    </xf>
    <xf numFmtId="0" fontId="0" fillId="33" borderId="0" xfId="0" applyFill="1" applyAlignment="1">
      <alignment/>
    </xf>
    <xf numFmtId="0" fontId="0" fillId="33" borderId="10" xfId="0" applyFont="1" applyFill="1" applyBorder="1" applyAlignment="1">
      <alignment/>
    </xf>
    <xf numFmtId="0" fontId="0" fillId="33" borderId="11" xfId="0" applyFont="1" applyFill="1" applyBorder="1" applyAlignment="1">
      <alignment/>
    </xf>
    <xf numFmtId="2" fontId="0" fillId="33" borderId="12" xfId="0" applyNumberFormat="1" applyFill="1" applyBorder="1" applyAlignment="1">
      <alignment/>
    </xf>
    <xf numFmtId="0" fontId="2" fillId="33" borderId="0" xfId="0" applyFont="1" applyFill="1" applyAlignment="1">
      <alignment/>
    </xf>
    <xf numFmtId="0" fontId="0" fillId="33" borderId="0" xfId="0" applyFill="1" applyAlignment="1">
      <alignment horizontal="center" vertical="center" wrapText="1"/>
    </xf>
    <xf numFmtId="0" fontId="0" fillId="33" borderId="0" xfId="0" applyFill="1" applyBorder="1" applyAlignment="1">
      <alignment/>
    </xf>
    <xf numFmtId="0" fontId="0" fillId="0" borderId="13" xfId="0" applyBorder="1" applyAlignment="1">
      <alignment horizontal="center" vertical="center" wrapText="1"/>
    </xf>
    <xf numFmtId="2" fontId="0" fillId="33" borderId="0" xfId="0" applyNumberFormat="1" applyFill="1" applyBorder="1" applyAlignment="1">
      <alignment/>
    </xf>
    <xf numFmtId="0" fontId="0" fillId="0" borderId="13" xfId="0" applyFont="1" applyBorder="1" applyAlignment="1">
      <alignment horizontal="center" vertical="center" wrapText="1"/>
    </xf>
    <xf numFmtId="0" fontId="47" fillId="33" borderId="0" xfId="0" applyFont="1" applyFill="1" applyAlignment="1">
      <alignment/>
    </xf>
    <xf numFmtId="2" fontId="0" fillId="33" borderId="0" xfId="0" applyNumberFormat="1" applyFont="1" applyFill="1" applyBorder="1" applyAlignment="1">
      <alignment/>
    </xf>
    <xf numFmtId="0" fontId="0" fillId="0" borderId="14" xfId="0" applyBorder="1" applyAlignment="1">
      <alignment horizontal="center" vertical="center"/>
    </xf>
    <xf numFmtId="0" fontId="0" fillId="0" borderId="15" xfId="0" applyBorder="1" applyAlignment="1">
      <alignment horizontal="right"/>
    </xf>
    <xf numFmtId="2" fontId="0" fillId="7" borderId="16" xfId="0" applyNumberFormat="1" applyFill="1" applyBorder="1" applyAlignment="1">
      <alignment/>
    </xf>
    <xf numFmtId="0" fontId="0" fillId="0" borderId="14" xfId="0" applyFont="1" applyBorder="1" applyAlignment="1">
      <alignment horizontal="center" vertical="center"/>
    </xf>
    <xf numFmtId="43" fontId="0" fillId="33" borderId="17" xfId="0" applyNumberFormat="1" applyFont="1" applyFill="1" applyBorder="1" applyAlignment="1">
      <alignment horizontal="center"/>
    </xf>
    <xf numFmtId="2" fontId="0" fillId="33" borderId="18" xfId="0" applyNumberFormat="1" applyFont="1" applyFill="1" applyBorder="1" applyAlignment="1">
      <alignment/>
    </xf>
    <xf numFmtId="0" fontId="0" fillId="34" borderId="0" xfId="0" applyFill="1" applyBorder="1" applyAlignment="1">
      <alignment/>
    </xf>
    <xf numFmtId="2" fontId="0" fillId="35" borderId="19" xfId="0" applyNumberFormat="1" applyFill="1" applyBorder="1" applyAlignment="1">
      <alignment/>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0" fillId="7" borderId="22" xfId="0" applyFont="1" applyFill="1" applyBorder="1" applyAlignment="1">
      <alignment horizontal="center" vertical="center"/>
    </xf>
    <xf numFmtId="0" fontId="0" fillId="7" borderId="23" xfId="0" applyFont="1" applyFill="1" applyBorder="1" applyAlignment="1">
      <alignment horizontal="center" vertical="center"/>
    </xf>
    <xf numFmtId="0" fontId="0" fillId="7" borderId="24" xfId="0" applyFill="1" applyBorder="1" applyAlignment="1">
      <alignment horizontal="center" vertical="center"/>
    </xf>
    <xf numFmtId="0" fontId="0" fillId="0" borderId="22" xfId="0" applyFont="1"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33" borderId="0" xfId="0" applyFont="1" applyFill="1" applyAlignment="1">
      <alignment horizontal="left"/>
    </xf>
    <xf numFmtId="0" fontId="0" fillId="33" borderId="0" xfId="0" applyFill="1" applyAlignment="1">
      <alignment horizontal="left"/>
    </xf>
    <xf numFmtId="0" fontId="0" fillId="0" borderId="25" xfId="0" applyFont="1" applyBorder="1" applyAlignment="1">
      <alignment horizontal="center"/>
    </xf>
    <xf numFmtId="0" fontId="0" fillId="34" borderId="26" xfId="0" applyFill="1" applyBorder="1" applyAlignment="1">
      <alignment/>
    </xf>
    <xf numFmtId="2" fontId="2" fillId="33" borderId="12" xfId="0" applyNumberFormat="1" applyFont="1" applyFill="1" applyBorder="1" applyAlignment="1">
      <alignment/>
    </xf>
    <xf numFmtId="0" fontId="0" fillId="34" borderId="27" xfId="0" applyFill="1" applyBorder="1" applyAlignment="1">
      <alignment/>
    </xf>
    <xf numFmtId="0" fontId="0" fillId="34" borderId="28" xfId="0" applyFill="1" applyBorder="1" applyAlignment="1">
      <alignment/>
    </xf>
    <xf numFmtId="0" fontId="2" fillId="33" borderId="29" xfId="0" applyFont="1" applyFill="1" applyBorder="1" applyAlignment="1">
      <alignment horizontal="center" vertical="center"/>
    </xf>
    <xf numFmtId="0" fontId="2" fillId="33" borderId="24" xfId="0" applyFont="1" applyFill="1" applyBorder="1" applyAlignment="1">
      <alignment horizontal="center" vertical="center" wrapText="1"/>
    </xf>
    <xf numFmtId="2" fontId="0" fillId="33" borderId="18" xfId="0" applyNumberFormat="1" applyFont="1" applyFill="1" applyBorder="1" applyAlignment="1">
      <alignment horizontal="center"/>
    </xf>
    <xf numFmtId="2" fontId="2" fillId="33" borderId="0" xfId="0" applyNumberFormat="1" applyFont="1" applyFill="1" applyBorder="1" applyAlignment="1">
      <alignment/>
    </xf>
    <xf numFmtId="2" fontId="0" fillId="33" borderId="30" xfId="0" applyNumberFormat="1" applyFill="1" applyBorder="1" applyAlignment="1">
      <alignment/>
    </xf>
    <xf numFmtId="0" fontId="48" fillId="34" borderId="31" xfId="0" applyFont="1" applyFill="1" applyBorder="1" applyAlignment="1">
      <alignment vertical="center"/>
    </xf>
    <xf numFmtId="0" fontId="49" fillId="34" borderId="32" xfId="0" applyFont="1" applyFill="1" applyBorder="1" applyAlignment="1">
      <alignment vertical="center"/>
    </xf>
    <xf numFmtId="2" fontId="2" fillId="33" borderId="33" xfId="0" applyNumberFormat="1" applyFont="1" applyFill="1" applyBorder="1" applyAlignment="1">
      <alignment/>
    </xf>
    <xf numFmtId="2" fontId="0" fillId="33" borderId="34" xfId="0" applyNumberFormat="1" applyFill="1" applyBorder="1" applyAlignment="1">
      <alignment/>
    </xf>
    <xf numFmtId="2" fontId="0" fillId="33" borderId="35" xfId="0" applyNumberFormat="1" applyFill="1" applyBorder="1" applyAlignment="1">
      <alignment horizontal="right"/>
    </xf>
    <xf numFmtId="2" fontId="0" fillId="33" borderId="36" xfId="0" applyNumberFormat="1" applyFill="1" applyBorder="1" applyAlignment="1">
      <alignment/>
    </xf>
    <xf numFmtId="2" fontId="0" fillId="33" borderId="37" xfId="0" applyNumberFormat="1" applyFill="1" applyBorder="1" applyAlignment="1">
      <alignment/>
    </xf>
    <xf numFmtId="2" fontId="2" fillId="33" borderId="37" xfId="0" applyNumberFormat="1" applyFont="1" applyFill="1" applyBorder="1" applyAlignment="1">
      <alignment/>
    </xf>
    <xf numFmtId="0" fontId="0" fillId="0" borderId="0" xfId="0" applyFill="1" applyAlignment="1">
      <alignment/>
    </xf>
    <xf numFmtId="0" fontId="0" fillId="12" borderId="38" xfId="0" applyFont="1" applyFill="1" applyBorder="1" applyAlignment="1" applyProtection="1">
      <alignment horizontal="center" vertical="center"/>
      <protection locked="0"/>
    </xf>
    <xf numFmtId="0" fontId="0" fillId="12" borderId="39" xfId="0" applyFont="1" applyFill="1" applyBorder="1" applyAlignment="1" applyProtection="1">
      <alignment horizontal="center" vertical="center"/>
      <protection locked="0"/>
    </xf>
    <xf numFmtId="0" fontId="0" fillId="12" borderId="40" xfId="0" applyFont="1" applyFill="1" applyBorder="1" applyAlignment="1" applyProtection="1">
      <alignment horizontal="center" vertical="center"/>
      <protection locked="0"/>
    </xf>
    <xf numFmtId="2" fontId="0" fillId="36" borderId="38" xfId="0" applyNumberFormat="1" applyFont="1" applyFill="1" applyBorder="1" applyAlignment="1" applyProtection="1">
      <alignment horizontal="center" vertical="center"/>
      <protection locked="0"/>
    </xf>
    <xf numFmtId="2" fontId="0" fillId="36" borderId="39" xfId="0" applyNumberFormat="1" applyFont="1" applyFill="1" applyBorder="1" applyAlignment="1" applyProtection="1">
      <alignment horizontal="center" vertical="center"/>
      <protection locked="0"/>
    </xf>
    <xf numFmtId="2" fontId="0" fillId="36" borderId="40" xfId="0" applyNumberFormat="1" applyFont="1" applyFill="1" applyBorder="1" applyAlignment="1" applyProtection="1">
      <alignment horizontal="center" vertical="center"/>
      <protection locked="0"/>
    </xf>
    <xf numFmtId="0" fontId="0" fillId="37" borderId="38" xfId="0" applyFont="1" applyFill="1" applyBorder="1" applyAlignment="1" applyProtection="1">
      <alignment horizontal="left" vertical="center" wrapText="1"/>
      <protection locked="0"/>
    </xf>
    <xf numFmtId="2" fontId="0" fillId="36" borderId="41" xfId="0" applyNumberFormat="1" applyFont="1" applyFill="1" applyBorder="1" applyAlignment="1" applyProtection="1">
      <alignment horizontal="center" vertical="center" wrapText="1"/>
      <protection locked="0"/>
    </xf>
    <xf numFmtId="2" fontId="0" fillId="36" borderId="42" xfId="42" applyNumberFormat="1" applyFont="1" applyFill="1" applyBorder="1" applyAlignment="1" applyProtection="1">
      <alignment horizontal="center" vertical="center" wrapText="1"/>
      <protection locked="0"/>
    </xf>
    <xf numFmtId="2" fontId="0" fillId="36" borderId="43" xfId="42" applyNumberFormat="1" applyFont="1" applyFill="1" applyBorder="1" applyAlignment="1" applyProtection="1">
      <alignment horizontal="center" vertical="center" wrapText="1"/>
      <protection locked="0"/>
    </xf>
    <xf numFmtId="2" fontId="0" fillId="36" borderId="44" xfId="42" applyNumberFormat="1" applyFont="1" applyFill="1" applyBorder="1" applyAlignment="1" applyProtection="1">
      <alignment horizontal="center" vertical="center" wrapText="1"/>
      <protection locked="0"/>
    </xf>
    <xf numFmtId="0" fontId="0" fillId="37" borderId="45" xfId="57" applyFont="1" applyFill="1" applyBorder="1" applyAlignment="1" applyProtection="1">
      <alignment horizontal="left" vertical="center" wrapText="1"/>
      <protection locked="0"/>
    </xf>
    <xf numFmtId="2" fontId="0" fillId="36" borderId="42" xfId="0" applyNumberFormat="1" applyFont="1" applyFill="1" applyBorder="1" applyAlignment="1" applyProtection="1">
      <alignment horizontal="center" vertical="center" wrapText="1"/>
      <protection locked="0"/>
    </xf>
    <xf numFmtId="0" fontId="0" fillId="37" borderId="46" xfId="57" applyFont="1" applyFill="1" applyBorder="1" applyAlignment="1" applyProtection="1">
      <alignment horizontal="left" vertical="center" wrapText="1"/>
      <protection locked="0"/>
    </xf>
    <xf numFmtId="2" fontId="0" fillId="36" borderId="43" xfId="0" applyNumberFormat="1" applyFont="1" applyFill="1" applyBorder="1" applyAlignment="1" applyProtection="1">
      <alignment horizontal="center" vertical="center" wrapText="1"/>
      <protection locked="0"/>
    </xf>
    <xf numFmtId="0" fontId="0" fillId="37" borderId="46" xfId="0" applyFont="1" applyFill="1" applyBorder="1" applyAlignment="1" applyProtection="1">
      <alignment horizontal="left" vertical="center" wrapText="1"/>
      <protection locked="0"/>
    </xf>
    <xf numFmtId="0" fontId="0" fillId="37" borderId="47" xfId="0" applyFont="1" applyFill="1" applyBorder="1" applyAlignment="1" applyProtection="1">
      <alignment horizontal="left" vertical="center" wrapText="1"/>
      <protection locked="0"/>
    </xf>
    <xf numFmtId="2" fontId="0" fillId="36" borderId="44" xfId="0" applyNumberFormat="1" applyFont="1" applyFill="1" applyBorder="1" applyAlignment="1" applyProtection="1">
      <alignment horizontal="center" vertical="center" wrapText="1"/>
      <protection locked="0"/>
    </xf>
    <xf numFmtId="0" fontId="0" fillId="33" borderId="0" xfId="0" applyFont="1" applyFill="1" applyAlignment="1" applyProtection="1">
      <alignment/>
      <protection locked="0"/>
    </xf>
    <xf numFmtId="0" fontId="0" fillId="33" borderId="0" xfId="0" applyFont="1" applyFill="1" applyAlignment="1" applyProtection="1">
      <alignment wrapText="1"/>
      <protection locked="0"/>
    </xf>
    <xf numFmtId="14" fontId="0" fillId="33" borderId="0" xfId="0" applyNumberFormat="1" applyFont="1" applyFill="1" applyAlignment="1" applyProtection="1">
      <alignment/>
      <protection locked="0"/>
    </xf>
    <xf numFmtId="0" fontId="0" fillId="0" borderId="0" xfId="0" applyFont="1" applyFill="1" applyAlignment="1" applyProtection="1">
      <alignment/>
      <protection locked="0"/>
    </xf>
    <xf numFmtId="0" fontId="0" fillId="0" borderId="0" xfId="0" applyFont="1" applyAlignment="1" applyProtection="1">
      <alignment/>
      <protection locked="0"/>
    </xf>
    <xf numFmtId="0" fontId="7" fillId="38" borderId="0" xfId="0" applyFont="1" applyFill="1" applyBorder="1" applyAlignment="1" applyProtection="1">
      <alignment horizontal="center"/>
      <protection locked="0"/>
    </xf>
    <xf numFmtId="0" fontId="0" fillId="33" borderId="0" xfId="0" applyFont="1" applyFill="1" applyAlignment="1" applyProtection="1">
      <alignment/>
      <protection locked="0"/>
    </xf>
    <xf numFmtId="0" fontId="0" fillId="0" borderId="0" xfId="0" applyFont="1" applyFill="1" applyAlignment="1" applyProtection="1">
      <alignment/>
      <protection locked="0"/>
    </xf>
    <xf numFmtId="0" fontId="7" fillId="33" borderId="0" xfId="0" applyFont="1" applyFill="1" applyBorder="1" applyAlignment="1" applyProtection="1">
      <alignment/>
      <protection locked="0"/>
    </xf>
    <xf numFmtId="0" fontId="0" fillId="33" borderId="0" xfId="0" applyFont="1" applyFill="1" applyBorder="1" applyAlignment="1" applyProtection="1">
      <alignment wrapText="1"/>
      <protection locked="0"/>
    </xf>
    <xf numFmtId="0" fontId="0" fillId="0" borderId="38" xfId="0" applyFont="1" applyFill="1" applyBorder="1" applyAlignment="1" applyProtection="1">
      <alignment vertical="center"/>
      <protection locked="0"/>
    </xf>
    <xf numFmtId="0" fontId="0" fillId="0" borderId="38" xfId="0" applyFont="1" applyFill="1" applyBorder="1" applyAlignment="1" applyProtection="1">
      <alignment horizontal="right" vertical="center" wrapText="1"/>
      <protection locked="0"/>
    </xf>
    <xf numFmtId="0" fontId="0" fillId="0" borderId="35" xfId="0" applyFont="1" applyFill="1" applyBorder="1" applyAlignment="1" applyProtection="1">
      <alignment horizontal="left" vertical="center" wrapText="1"/>
      <protection locked="0"/>
    </xf>
    <xf numFmtId="0" fontId="0" fillId="0" borderId="35" xfId="0" applyFont="1" applyFill="1" applyBorder="1" applyAlignment="1" applyProtection="1">
      <alignment horizontal="left"/>
      <protection locked="0"/>
    </xf>
    <xf numFmtId="0" fontId="0" fillId="0" borderId="48" xfId="0" applyFont="1" applyFill="1" applyBorder="1" applyAlignment="1" applyProtection="1">
      <alignment/>
      <protection locked="0"/>
    </xf>
    <xf numFmtId="0" fontId="0" fillId="0" borderId="49" xfId="0" applyFont="1" applyFill="1" applyBorder="1" applyAlignment="1" applyProtection="1">
      <alignment/>
      <protection locked="0"/>
    </xf>
    <xf numFmtId="0" fontId="0" fillId="33" borderId="0" xfId="0" applyFont="1" applyFill="1" applyBorder="1" applyAlignment="1" applyProtection="1">
      <alignment/>
      <protection locked="0"/>
    </xf>
    <xf numFmtId="0" fontId="0" fillId="0" borderId="38" xfId="0" applyFont="1" applyFill="1" applyBorder="1" applyAlignment="1" applyProtection="1">
      <alignment/>
      <protection locked="0"/>
    </xf>
    <xf numFmtId="0" fontId="0" fillId="0" borderId="35" xfId="0" applyFont="1" applyFill="1" applyBorder="1" applyAlignment="1" applyProtection="1">
      <alignment/>
      <protection locked="0"/>
    </xf>
    <xf numFmtId="0" fontId="0" fillId="0" borderId="39" xfId="0" applyFont="1" applyFill="1" applyBorder="1" applyAlignment="1" applyProtection="1">
      <alignment vertical="center"/>
      <protection locked="0"/>
    </xf>
    <xf numFmtId="0" fontId="0" fillId="0" borderId="39" xfId="0" applyFont="1" applyFill="1" applyBorder="1" applyAlignment="1" applyProtection="1">
      <alignment horizontal="right" vertical="center" wrapText="1"/>
      <protection locked="0"/>
    </xf>
    <xf numFmtId="0" fontId="0" fillId="0" borderId="12"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protection locked="0"/>
    </xf>
    <xf numFmtId="0" fontId="0" fillId="0" borderId="39" xfId="0" applyFont="1" applyFill="1" applyBorder="1" applyAlignment="1" applyProtection="1">
      <alignment/>
      <protection locked="0"/>
    </xf>
    <xf numFmtId="0" fontId="0" fillId="0" borderId="12" xfId="0" applyFont="1" applyFill="1" applyBorder="1" applyAlignment="1" applyProtection="1">
      <alignment/>
      <protection locked="0"/>
    </xf>
    <xf numFmtId="0" fontId="0" fillId="33" borderId="0" xfId="0" applyFont="1" applyFill="1" applyBorder="1" applyAlignment="1" applyProtection="1">
      <alignment horizontal="center"/>
      <protection locked="0"/>
    </xf>
    <xf numFmtId="0" fontId="0" fillId="0" borderId="40" xfId="0" applyFont="1" applyFill="1" applyBorder="1" applyAlignment="1" applyProtection="1">
      <alignment/>
      <protection locked="0"/>
    </xf>
    <xf numFmtId="0" fontId="0" fillId="0" borderId="37" xfId="0" applyFont="1" applyFill="1" applyBorder="1" applyAlignment="1" applyProtection="1">
      <alignment/>
      <protection locked="0"/>
    </xf>
    <xf numFmtId="0" fontId="0" fillId="33" borderId="0" xfId="0" applyFont="1" applyFill="1" applyBorder="1" applyAlignment="1" applyProtection="1">
      <alignment/>
      <protection locked="0"/>
    </xf>
    <xf numFmtId="0" fontId="2" fillId="33" borderId="0" xfId="0" applyFont="1" applyFill="1" applyBorder="1" applyAlignment="1" applyProtection="1">
      <alignment/>
      <protection locked="0"/>
    </xf>
    <xf numFmtId="0" fontId="0" fillId="0" borderId="0" xfId="0" applyFont="1" applyFill="1" applyBorder="1" applyAlignment="1" applyProtection="1">
      <alignment/>
      <protection locked="0"/>
    </xf>
    <xf numFmtId="0" fontId="0" fillId="0" borderId="32" xfId="0" applyFont="1" applyFill="1" applyBorder="1" applyAlignment="1" applyProtection="1">
      <alignment/>
      <protection locked="0"/>
    </xf>
    <xf numFmtId="0" fontId="0" fillId="0" borderId="31" xfId="0" applyFont="1" applyFill="1" applyBorder="1" applyAlignment="1" applyProtection="1">
      <alignment/>
      <protection locked="0"/>
    </xf>
    <xf numFmtId="0" fontId="0" fillId="0" borderId="0" xfId="0" applyFont="1" applyFill="1" applyAlignment="1" applyProtection="1">
      <alignment wrapText="1"/>
      <protection locked="0"/>
    </xf>
    <xf numFmtId="0" fontId="0" fillId="0" borderId="50" xfId="0" applyFont="1" applyFill="1" applyBorder="1" applyAlignment="1" applyProtection="1">
      <alignment/>
      <protection locked="0"/>
    </xf>
    <xf numFmtId="0" fontId="0" fillId="0" borderId="33" xfId="0" applyFont="1" applyFill="1" applyBorder="1" applyAlignment="1" applyProtection="1">
      <alignment/>
      <protection locked="0"/>
    </xf>
    <xf numFmtId="0" fontId="0" fillId="0" borderId="0" xfId="0" applyFont="1" applyAlignment="1" applyProtection="1">
      <alignment wrapText="1"/>
      <protection locked="0"/>
    </xf>
    <xf numFmtId="0" fontId="0" fillId="34" borderId="25" xfId="0" applyFont="1" applyFill="1" applyBorder="1" applyAlignment="1" applyProtection="1">
      <alignment/>
      <protection locked="0"/>
    </xf>
    <xf numFmtId="0" fontId="0" fillId="33" borderId="0" xfId="0" applyFont="1" applyFill="1" applyAlignment="1" applyProtection="1">
      <alignment vertical="center"/>
      <protection locked="0"/>
    </xf>
    <xf numFmtId="0" fontId="0" fillId="37" borderId="38" xfId="0" applyFont="1" applyFill="1" applyBorder="1" applyAlignment="1" applyProtection="1">
      <alignment horizontal="center" vertical="center" wrapText="1"/>
      <protection locked="0"/>
    </xf>
    <xf numFmtId="0" fontId="0" fillId="0"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34" borderId="48" xfId="0" applyFont="1" applyFill="1" applyBorder="1" applyAlignment="1" applyProtection="1">
      <alignment/>
      <protection locked="0"/>
    </xf>
    <xf numFmtId="0" fontId="0" fillId="34" borderId="51" xfId="0" applyFont="1" applyFill="1" applyBorder="1" applyAlignment="1" applyProtection="1">
      <alignment/>
      <protection locked="0"/>
    </xf>
    <xf numFmtId="0" fontId="0" fillId="34" borderId="0" xfId="0" applyFont="1" applyFill="1" applyBorder="1" applyAlignment="1" applyProtection="1">
      <alignment wrapText="1"/>
      <protection locked="0"/>
    </xf>
    <xf numFmtId="0" fontId="0" fillId="34" borderId="49" xfId="0" applyFont="1" applyFill="1" applyBorder="1" applyAlignment="1" applyProtection="1">
      <alignment horizontal="left"/>
      <protection locked="0"/>
    </xf>
    <xf numFmtId="2" fontId="2" fillId="34" borderId="48" xfId="0" applyNumberFormat="1" applyFont="1" applyFill="1" applyBorder="1" applyAlignment="1" applyProtection="1">
      <alignment/>
      <protection locked="0"/>
    </xf>
    <xf numFmtId="0" fontId="0" fillId="34" borderId="52" xfId="0" applyFont="1" applyFill="1" applyBorder="1" applyAlignment="1" applyProtection="1">
      <alignment/>
      <protection locked="0"/>
    </xf>
    <xf numFmtId="0" fontId="48" fillId="34" borderId="49" xfId="0" applyFont="1" applyFill="1" applyBorder="1" applyAlignment="1" applyProtection="1">
      <alignment horizontal="right"/>
      <protection locked="0"/>
    </xf>
    <xf numFmtId="1" fontId="0" fillId="34" borderId="53" xfId="0" applyNumberFormat="1" applyFont="1" applyFill="1" applyBorder="1" applyAlignment="1" applyProtection="1">
      <alignment wrapText="1"/>
      <protection locked="0"/>
    </xf>
    <xf numFmtId="0" fontId="5" fillId="34" borderId="51" xfId="0" applyFont="1" applyFill="1" applyBorder="1" applyAlignment="1" applyProtection="1">
      <alignment horizontal="center" wrapText="1"/>
      <protection locked="0"/>
    </xf>
    <xf numFmtId="0" fontId="0" fillId="34" borderId="53" xfId="0" applyFont="1" applyFill="1" applyBorder="1" applyAlignment="1" applyProtection="1">
      <alignment wrapText="1"/>
      <protection locked="0"/>
    </xf>
    <xf numFmtId="0" fontId="0" fillId="34" borderId="15" xfId="0" applyFont="1" applyFill="1" applyBorder="1" applyAlignment="1" applyProtection="1">
      <alignment horizontal="left" vertical="center" wrapText="1"/>
      <protection locked="0"/>
    </xf>
    <xf numFmtId="2" fontId="0" fillId="34" borderId="28" xfId="0" applyNumberFormat="1" applyFont="1" applyFill="1" applyBorder="1" applyAlignment="1" applyProtection="1">
      <alignment horizontal="center" vertical="center" wrapText="1"/>
      <protection locked="0"/>
    </xf>
    <xf numFmtId="0" fontId="0" fillId="34" borderId="15"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7" borderId="15" xfId="0" applyFont="1" applyFill="1" applyBorder="1" applyAlignment="1" applyProtection="1">
      <alignment horizontal="center" vertical="center" wrapText="1"/>
      <protection locked="0"/>
    </xf>
    <xf numFmtId="0" fontId="0" fillId="0" borderId="12" xfId="0" applyFont="1" applyFill="1" applyBorder="1" applyAlignment="1" applyProtection="1">
      <alignment vertical="center" wrapText="1"/>
      <protection locked="0"/>
    </xf>
    <xf numFmtId="0" fontId="0" fillId="34" borderId="53" xfId="0" applyFont="1" applyFill="1" applyBorder="1" applyAlignment="1" applyProtection="1">
      <alignment/>
      <protection locked="0"/>
    </xf>
    <xf numFmtId="2" fontId="0" fillId="33" borderId="0" xfId="0" applyNumberFormat="1" applyFont="1" applyFill="1" applyBorder="1" applyAlignment="1" applyProtection="1">
      <alignment wrapText="1"/>
      <protection locked="0"/>
    </xf>
    <xf numFmtId="0" fontId="2" fillId="33" borderId="0" xfId="0" applyNumberFormat="1" applyFont="1" applyFill="1" applyBorder="1" applyAlignment="1" applyProtection="1">
      <alignment wrapText="1"/>
      <protection locked="0"/>
    </xf>
    <xf numFmtId="0" fontId="47" fillId="33" borderId="0" xfId="0" applyFont="1" applyFill="1" applyAlignment="1" applyProtection="1">
      <alignment/>
      <protection locked="0"/>
    </xf>
    <xf numFmtId="0" fontId="2" fillId="33" borderId="0" xfId="0" applyFont="1" applyFill="1" applyBorder="1" applyAlignment="1" applyProtection="1">
      <alignment wrapText="1"/>
      <protection locked="0"/>
    </xf>
    <xf numFmtId="0" fontId="0" fillId="33" borderId="0" xfId="0" applyNumberFormat="1" applyFont="1" applyFill="1" applyBorder="1" applyAlignment="1" applyProtection="1">
      <alignment wrapText="1"/>
      <protection locked="0"/>
    </xf>
    <xf numFmtId="0" fontId="0" fillId="33" borderId="0" xfId="0" applyFont="1" applyFill="1" applyBorder="1" applyAlignment="1" applyProtection="1">
      <alignment horizontal="left"/>
      <protection locked="0"/>
    </xf>
    <xf numFmtId="0" fontId="0" fillId="33" borderId="0" xfId="57" applyFont="1" applyFill="1" applyBorder="1" applyAlignment="1" applyProtection="1">
      <alignment wrapText="1"/>
      <protection locked="0"/>
    </xf>
    <xf numFmtId="2" fontId="0" fillId="33" borderId="0" xfId="57" applyNumberFormat="1" applyFont="1" applyFill="1" applyBorder="1" applyAlignment="1" applyProtection="1">
      <alignment/>
      <protection locked="0"/>
    </xf>
    <xf numFmtId="0" fontId="0" fillId="33" borderId="0" xfId="0" applyFont="1" applyFill="1" applyBorder="1" applyAlignment="1" applyProtection="1">
      <alignment horizontal="center" wrapText="1"/>
      <protection locked="0"/>
    </xf>
    <xf numFmtId="0" fontId="0" fillId="33" borderId="0" xfId="57" applyFont="1" applyFill="1" applyBorder="1" applyAlignment="1" applyProtection="1">
      <alignment horizontal="center"/>
      <protection locked="0"/>
    </xf>
    <xf numFmtId="2" fontId="0" fillId="33" borderId="0" xfId="0" applyNumberFormat="1" applyFont="1" applyFill="1" applyBorder="1" applyAlignment="1" applyProtection="1">
      <alignment/>
      <protection locked="0"/>
    </xf>
    <xf numFmtId="2" fontId="2" fillId="33" borderId="0" xfId="0" applyNumberFormat="1" applyFont="1" applyFill="1" applyBorder="1" applyAlignment="1" applyProtection="1">
      <alignment/>
      <protection locked="0"/>
    </xf>
    <xf numFmtId="1" fontId="0" fillId="33" borderId="0" xfId="0" applyNumberFormat="1" applyFont="1" applyFill="1" applyBorder="1" applyAlignment="1" applyProtection="1">
      <alignment wrapText="1"/>
      <protection locked="0"/>
    </xf>
    <xf numFmtId="0" fontId="0" fillId="34" borderId="54" xfId="0" applyFill="1" applyBorder="1" applyAlignment="1" applyProtection="1">
      <alignment/>
      <protection locked="0"/>
    </xf>
    <xf numFmtId="0" fontId="4" fillId="33" borderId="0" xfId="0" applyFont="1" applyFill="1" applyBorder="1" applyAlignment="1" applyProtection="1">
      <alignment wrapText="1"/>
      <protection locked="0"/>
    </xf>
    <xf numFmtId="0" fontId="0" fillId="0" borderId="37" xfId="0" applyFont="1" applyFill="1" applyBorder="1" applyAlignment="1" applyProtection="1">
      <alignment horizontal="left"/>
      <protection locked="0"/>
    </xf>
    <xf numFmtId="0" fontId="0" fillId="0" borderId="0" xfId="0" applyFont="1" applyFill="1" applyAlignment="1" applyProtection="1">
      <alignment horizontal="right"/>
      <protection locked="0"/>
    </xf>
    <xf numFmtId="0" fontId="0" fillId="0" borderId="0" xfId="0" applyFont="1" applyFill="1" applyAlignment="1" applyProtection="1">
      <alignment horizontal="left"/>
      <protection locked="0"/>
    </xf>
    <xf numFmtId="0" fontId="0" fillId="37" borderId="34" xfId="0" applyFont="1" applyFill="1" applyBorder="1" applyAlignment="1" applyProtection="1">
      <alignment horizontal="center" vertical="center" wrapText="1"/>
      <protection locked="0"/>
    </xf>
    <xf numFmtId="1" fontId="0" fillId="33" borderId="0" xfId="0" applyNumberFormat="1" applyFont="1" applyFill="1" applyBorder="1" applyAlignment="1" applyProtection="1">
      <alignment/>
      <protection locked="0"/>
    </xf>
    <xf numFmtId="0" fontId="0" fillId="37" borderId="30" xfId="0" applyFont="1" applyFill="1" applyBorder="1" applyAlignment="1" applyProtection="1">
      <alignment horizontal="center" vertical="center" wrapText="1"/>
      <protection locked="0"/>
    </xf>
    <xf numFmtId="0" fontId="0" fillId="37" borderId="39" xfId="0" applyFont="1" applyFill="1" applyBorder="1" applyAlignment="1" applyProtection="1">
      <alignment horizontal="center" vertical="center" wrapText="1"/>
      <protection locked="0"/>
    </xf>
    <xf numFmtId="0" fontId="0" fillId="33" borderId="55" xfId="0" applyFont="1" applyFill="1" applyBorder="1" applyAlignment="1" applyProtection="1">
      <alignment/>
      <protection locked="0"/>
    </xf>
    <xf numFmtId="0" fontId="2" fillId="0" borderId="25" xfId="0" applyFont="1" applyFill="1" applyBorder="1" applyAlignment="1" applyProtection="1">
      <alignment vertical="center"/>
      <protection locked="0"/>
    </xf>
    <xf numFmtId="0" fontId="0" fillId="0" borderId="56" xfId="0" applyFont="1" applyFill="1" applyBorder="1" applyAlignment="1" applyProtection="1">
      <alignment vertical="center"/>
      <protection locked="0"/>
    </xf>
    <xf numFmtId="0" fontId="0" fillId="0" borderId="57" xfId="0" applyFont="1" applyFill="1" applyBorder="1" applyAlignment="1" applyProtection="1">
      <alignment vertical="center"/>
      <protection locked="0"/>
    </xf>
    <xf numFmtId="0" fontId="0" fillId="0" borderId="0" xfId="0" applyFont="1" applyFill="1" applyBorder="1" applyAlignment="1" applyProtection="1">
      <alignment vertical="center" wrapText="1"/>
      <protection locked="0"/>
    </xf>
    <xf numFmtId="0" fontId="0" fillId="0" borderId="0" xfId="0" applyFont="1" applyFill="1" applyBorder="1" applyAlignment="1" applyProtection="1">
      <alignment horizontal="right" vertical="center" wrapText="1"/>
      <protection locked="0"/>
    </xf>
    <xf numFmtId="0" fontId="0" fillId="0" borderId="0"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right"/>
      <protection locked="0"/>
    </xf>
    <xf numFmtId="0" fontId="0" fillId="0" borderId="0" xfId="0" applyFont="1" applyFill="1" applyBorder="1" applyAlignment="1" applyProtection="1">
      <alignment horizontal="left"/>
      <protection locked="0"/>
    </xf>
    <xf numFmtId="0" fontId="0" fillId="37" borderId="36" xfId="0" applyFont="1" applyFill="1" applyBorder="1" applyAlignment="1" applyProtection="1">
      <alignment horizontal="center" vertical="center" wrapText="1"/>
      <protection locked="0"/>
    </xf>
    <xf numFmtId="0" fontId="0" fillId="37" borderId="40" xfId="0" applyFont="1" applyFill="1" applyBorder="1" applyAlignment="1" applyProtection="1">
      <alignment horizontal="center" vertical="center" wrapText="1"/>
      <protection locked="0"/>
    </xf>
    <xf numFmtId="0" fontId="0" fillId="34" borderId="54" xfId="0" applyFont="1" applyFill="1" applyBorder="1" applyAlignment="1" applyProtection="1">
      <alignment/>
      <protection locked="0"/>
    </xf>
    <xf numFmtId="0" fontId="0" fillId="34" borderId="0" xfId="0" applyFont="1" applyFill="1" applyBorder="1" applyAlignment="1" applyProtection="1">
      <alignment vertical="center"/>
      <protection locked="0"/>
    </xf>
    <xf numFmtId="0" fontId="47" fillId="34" borderId="0" xfId="0" applyFont="1" applyFill="1" applyBorder="1" applyAlignment="1" applyProtection="1">
      <alignment horizontal="left" vertical="center"/>
      <protection locked="0"/>
    </xf>
    <xf numFmtId="0" fontId="0" fillId="34" borderId="58" xfId="0" applyFont="1" applyFill="1" applyBorder="1" applyAlignment="1" applyProtection="1">
      <alignment horizontal="center" vertical="center"/>
      <protection locked="0"/>
    </xf>
    <xf numFmtId="0" fontId="2" fillId="34" borderId="0" xfId="0" applyFont="1" applyFill="1" applyBorder="1" applyAlignment="1" applyProtection="1">
      <alignment horizontal="center" wrapText="1"/>
      <protection locked="0"/>
    </xf>
    <xf numFmtId="0" fontId="2" fillId="34" borderId="58" xfId="0" applyFont="1" applyFill="1" applyBorder="1" applyAlignment="1" applyProtection="1">
      <alignment horizontal="center" wrapText="1"/>
      <protection locked="0"/>
    </xf>
    <xf numFmtId="0" fontId="0" fillId="34" borderId="0" xfId="0" applyFont="1" applyFill="1" applyBorder="1" applyAlignment="1" applyProtection="1">
      <alignment horizontal="center" vertical="center"/>
      <protection locked="0"/>
    </xf>
    <xf numFmtId="0" fontId="0" fillId="34" borderId="0" xfId="0" applyFont="1" applyFill="1" applyBorder="1" applyAlignment="1" applyProtection="1">
      <alignment horizontal="right" vertical="center"/>
      <protection locked="0"/>
    </xf>
    <xf numFmtId="0" fontId="0" fillId="34" borderId="59" xfId="0" applyFont="1" applyFill="1" applyBorder="1" applyAlignment="1" applyProtection="1">
      <alignment/>
      <protection locked="0"/>
    </xf>
    <xf numFmtId="0" fontId="0" fillId="34" borderId="58" xfId="0" applyFont="1" applyFill="1" applyBorder="1" applyAlignment="1" applyProtection="1">
      <alignment horizontal="left"/>
      <protection locked="0"/>
    </xf>
    <xf numFmtId="2" fontId="2" fillId="36" borderId="60" xfId="0" applyNumberFormat="1" applyFont="1" applyFill="1" applyBorder="1" applyAlignment="1" applyProtection="1">
      <alignment horizontal="center" vertical="center" wrapText="1"/>
      <protection locked="0"/>
    </xf>
    <xf numFmtId="2" fontId="2" fillId="36" borderId="61" xfId="0" applyNumberFormat="1" applyFont="1" applyFill="1" applyBorder="1" applyAlignment="1" applyProtection="1">
      <alignment horizontal="center" vertical="center" wrapText="1"/>
      <protection locked="0"/>
    </xf>
    <xf numFmtId="0" fontId="0" fillId="34" borderId="27" xfId="0" applyFont="1" applyFill="1" applyBorder="1" applyAlignment="1" applyProtection="1">
      <alignment/>
      <protection locked="0"/>
    </xf>
    <xf numFmtId="0" fontId="0" fillId="34" borderId="26" xfId="0" applyFont="1" applyFill="1" applyBorder="1" applyAlignment="1" applyProtection="1">
      <alignment vertical="center"/>
      <protection locked="0"/>
    </xf>
    <xf numFmtId="0" fontId="0" fillId="33" borderId="10" xfId="0" applyFont="1" applyFill="1" applyBorder="1" applyAlignment="1" applyProtection="1">
      <alignment wrapText="1"/>
      <protection locked="0"/>
    </xf>
    <xf numFmtId="0" fontId="0" fillId="33" borderId="41" xfId="0" applyFont="1" applyFill="1" applyBorder="1" applyAlignment="1" applyProtection="1">
      <alignment wrapText="1"/>
      <protection locked="0"/>
    </xf>
    <xf numFmtId="0" fontId="0" fillId="0" borderId="28" xfId="0" applyFont="1" applyFill="1" applyBorder="1" applyAlignment="1" applyProtection="1">
      <alignment wrapText="1"/>
      <protection locked="0"/>
    </xf>
    <xf numFmtId="0" fontId="0" fillId="33" borderId="0" xfId="0" applyFont="1" applyFill="1" applyBorder="1" applyAlignment="1" applyProtection="1">
      <alignment vertical="center"/>
      <protection locked="0"/>
    </xf>
    <xf numFmtId="0" fontId="7" fillId="33" borderId="0" xfId="0" applyFont="1" applyFill="1" applyAlignment="1" applyProtection="1">
      <alignment/>
      <protection locked="0"/>
    </xf>
    <xf numFmtId="0" fontId="0" fillId="8" borderId="38" xfId="0" applyFont="1" applyFill="1" applyBorder="1" applyAlignment="1" applyProtection="1">
      <alignment horizontal="center" vertical="center"/>
      <protection locked="0"/>
    </xf>
    <xf numFmtId="0" fontId="0" fillId="16" borderId="38" xfId="0" applyFont="1" applyFill="1" applyBorder="1" applyAlignment="1" applyProtection="1">
      <alignment horizontal="center" vertical="center" wrapText="1"/>
      <protection locked="0"/>
    </xf>
    <xf numFmtId="2" fontId="0" fillId="22" borderId="38" xfId="0" applyNumberFormat="1" applyFont="1" applyFill="1" applyBorder="1" applyAlignment="1" applyProtection="1">
      <alignment horizontal="center" vertical="center"/>
      <protection locked="0"/>
    </xf>
    <xf numFmtId="0" fontId="0" fillId="8" borderId="39" xfId="0" applyFont="1" applyFill="1" applyBorder="1" applyAlignment="1" applyProtection="1">
      <alignment horizontal="center" vertical="center"/>
      <protection locked="0"/>
    </xf>
    <xf numFmtId="2" fontId="0" fillId="22" borderId="39" xfId="0" applyNumberFormat="1" applyFont="1" applyFill="1" applyBorder="1" applyAlignment="1" applyProtection="1">
      <alignment horizontal="center" vertical="center"/>
      <protection locked="0"/>
    </xf>
    <xf numFmtId="0" fontId="0" fillId="8" borderId="40" xfId="0" applyFont="1" applyFill="1" applyBorder="1" applyAlignment="1" applyProtection="1">
      <alignment horizontal="center" vertical="center"/>
      <protection locked="0"/>
    </xf>
    <xf numFmtId="2" fontId="0" fillId="22" borderId="40" xfId="0" applyNumberFormat="1" applyFont="1" applyFill="1" applyBorder="1" applyAlignment="1" applyProtection="1">
      <alignment horizontal="center" vertical="center"/>
      <protection locked="0"/>
    </xf>
    <xf numFmtId="0" fontId="0" fillId="16" borderId="38" xfId="0" applyFont="1" applyFill="1" applyBorder="1" applyAlignment="1" applyProtection="1">
      <alignment horizontal="left" vertical="center" wrapText="1"/>
      <protection locked="0"/>
    </xf>
    <xf numFmtId="2" fontId="0" fillId="22" borderId="41" xfId="0" applyNumberFormat="1" applyFont="1" applyFill="1" applyBorder="1" applyAlignment="1" applyProtection="1">
      <alignment horizontal="center" vertical="center" wrapText="1"/>
      <protection locked="0"/>
    </xf>
    <xf numFmtId="0" fontId="0" fillId="16" borderId="15" xfId="0" applyFont="1" applyFill="1" applyBorder="1" applyAlignment="1" applyProtection="1">
      <alignment horizontal="center" vertical="center" wrapText="1"/>
      <protection locked="0"/>
    </xf>
    <xf numFmtId="0" fontId="0" fillId="0" borderId="10" xfId="0" applyFont="1" applyBorder="1" applyAlignment="1" applyProtection="1">
      <alignment vertical="center"/>
      <protection locked="0"/>
    </xf>
    <xf numFmtId="0" fontId="0" fillId="16" borderId="34" xfId="0" applyFont="1" applyFill="1" applyBorder="1" applyAlignment="1" applyProtection="1">
      <alignment horizontal="center" vertical="center" wrapText="1"/>
      <protection locked="0"/>
    </xf>
    <xf numFmtId="43" fontId="0" fillId="16" borderId="46" xfId="42" applyFont="1" applyFill="1" applyBorder="1" applyAlignment="1" applyProtection="1">
      <alignment horizontal="left" vertical="center" wrapText="1"/>
      <protection locked="0"/>
    </xf>
    <xf numFmtId="0" fontId="0" fillId="16" borderId="30" xfId="0" applyFont="1" applyFill="1" applyBorder="1" applyAlignment="1" applyProtection="1">
      <alignment horizontal="center" vertical="center" wrapText="1"/>
      <protection locked="0"/>
    </xf>
    <xf numFmtId="0" fontId="0" fillId="16" borderId="39" xfId="0" applyFont="1" applyFill="1" applyBorder="1" applyAlignment="1" applyProtection="1">
      <alignment horizontal="center" vertical="center" wrapText="1"/>
      <protection locked="0"/>
    </xf>
    <xf numFmtId="0" fontId="0" fillId="0" borderId="62" xfId="0" applyFont="1" applyBorder="1" applyAlignment="1" applyProtection="1">
      <alignment vertical="center"/>
      <protection locked="0"/>
    </xf>
    <xf numFmtId="43" fontId="0" fillId="16" borderId="47" xfId="42" applyFont="1" applyFill="1" applyBorder="1" applyAlignment="1" applyProtection="1">
      <alignment horizontal="left" vertical="center" wrapText="1"/>
      <protection locked="0"/>
    </xf>
    <xf numFmtId="0" fontId="0" fillId="16" borderId="36" xfId="0" applyFont="1" applyFill="1" applyBorder="1" applyAlignment="1" applyProtection="1">
      <alignment horizontal="center" vertical="center" wrapText="1"/>
      <protection locked="0"/>
    </xf>
    <xf numFmtId="0" fontId="0" fillId="16" borderId="40" xfId="0" applyFont="1" applyFill="1" applyBorder="1" applyAlignment="1" applyProtection="1">
      <alignment horizontal="center" vertical="center" wrapText="1"/>
      <protection locked="0"/>
    </xf>
    <xf numFmtId="2" fontId="2" fillId="22" borderId="63" xfId="0" applyNumberFormat="1" applyFont="1" applyFill="1" applyBorder="1" applyAlignment="1" applyProtection="1">
      <alignment horizontal="center" vertical="center" wrapText="1"/>
      <protection locked="0"/>
    </xf>
    <xf numFmtId="0" fontId="0" fillId="16" borderId="46" xfId="57" applyFont="1" applyFill="1" applyBorder="1" applyAlignment="1" applyProtection="1">
      <alignment horizontal="left" vertical="center" wrapText="1"/>
      <protection locked="0"/>
    </xf>
    <xf numFmtId="2" fontId="2" fillId="22" borderId="60" xfId="0" applyNumberFormat="1" applyFont="1" applyFill="1" applyBorder="1" applyAlignment="1" applyProtection="1">
      <alignment horizontal="center" vertical="center" wrapText="1"/>
      <protection locked="0"/>
    </xf>
    <xf numFmtId="0" fontId="0" fillId="16" borderId="46" xfId="0" applyFont="1" applyFill="1" applyBorder="1" applyAlignment="1" applyProtection="1">
      <alignment horizontal="left" vertical="center" wrapText="1"/>
      <protection locked="0"/>
    </xf>
    <xf numFmtId="0" fontId="0" fillId="16" borderId="47" xfId="0" applyFont="1" applyFill="1" applyBorder="1" applyAlignment="1" applyProtection="1">
      <alignment horizontal="left" vertical="center" wrapText="1"/>
      <protection locked="0"/>
    </xf>
    <xf numFmtId="2" fontId="2" fillId="22" borderId="61" xfId="0" applyNumberFormat="1" applyFont="1" applyFill="1" applyBorder="1" applyAlignment="1" applyProtection="1">
      <alignment horizontal="center" vertical="center" wrapText="1"/>
      <protection locked="0"/>
    </xf>
    <xf numFmtId="0" fontId="0" fillId="33" borderId="26" xfId="0" applyFont="1" applyFill="1" applyBorder="1" applyAlignment="1" applyProtection="1">
      <alignment horizontal="center" vertical="center"/>
      <protection locked="0"/>
    </xf>
    <xf numFmtId="0" fontId="0" fillId="12" borderId="35" xfId="0" applyFont="1" applyFill="1" applyBorder="1" applyAlignment="1" applyProtection="1">
      <alignment horizontal="center" vertical="center"/>
      <protection/>
    </xf>
    <xf numFmtId="2" fontId="0" fillId="37" borderId="30" xfId="0" applyNumberFormat="1" applyFont="1" applyFill="1" applyBorder="1" applyAlignment="1" applyProtection="1">
      <alignment horizontal="center" vertical="center" wrapText="1"/>
      <protection locked="0"/>
    </xf>
    <xf numFmtId="2" fontId="0" fillId="37" borderId="36" xfId="0" applyNumberFormat="1" applyFont="1" applyFill="1" applyBorder="1" applyAlignment="1" applyProtection="1">
      <alignment horizontal="center" vertical="center" wrapText="1"/>
      <protection locked="0"/>
    </xf>
    <xf numFmtId="0" fontId="0" fillId="12" borderId="12" xfId="0" applyFont="1" applyFill="1" applyBorder="1" applyAlignment="1" applyProtection="1">
      <alignment horizontal="center" vertical="center"/>
      <protection/>
    </xf>
    <xf numFmtId="0" fontId="0" fillId="12" borderId="37" xfId="0" applyFont="1" applyFill="1" applyBorder="1" applyAlignment="1" applyProtection="1">
      <alignment horizontal="center" vertical="center"/>
      <protection/>
    </xf>
    <xf numFmtId="0" fontId="0" fillId="12" borderId="35" xfId="57" applyFont="1" applyFill="1" applyBorder="1" applyAlignment="1" applyProtection="1">
      <alignment horizontal="center" vertical="center"/>
      <protection/>
    </xf>
    <xf numFmtId="0" fontId="0" fillId="12" borderId="12" xfId="57" applyFont="1" applyFill="1" applyBorder="1" applyAlignment="1" applyProtection="1">
      <alignment horizontal="center" vertical="center"/>
      <protection/>
    </xf>
    <xf numFmtId="0" fontId="0" fillId="12" borderId="37" xfId="57" applyFont="1" applyFill="1" applyBorder="1" applyAlignment="1" applyProtection="1">
      <alignment horizontal="center" vertical="center"/>
      <protection/>
    </xf>
    <xf numFmtId="2" fontId="0" fillId="19" borderId="35" xfId="0" applyNumberFormat="1" applyFont="1" applyFill="1" applyBorder="1" applyAlignment="1" applyProtection="1">
      <alignment horizontal="center" vertical="center"/>
      <protection/>
    </xf>
    <xf numFmtId="2" fontId="0" fillId="19" borderId="12" xfId="0" applyNumberFormat="1" applyFont="1" applyFill="1" applyBorder="1" applyAlignment="1" applyProtection="1">
      <alignment horizontal="center" vertical="center"/>
      <protection/>
    </xf>
    <xf numFmtId="2" fontId="0" fillId="19" borderId="37" xfId="0" applyNumberFormat="1" applyFont="1" applyFill="1" applyBorder="1" applyAlignment="1" applyProtection="1">
      <alignment horizontal="center" vertical="center"/>
      <protection/>
    </xf>
    <xf numFmtId="2" fontId="0" fillId="19" borderId="38" xfId="0" applyNumberFormat="1" applyFont="1" applyFill="1" applyBorder="1" applyAlignment="1" applyProtection="1">
      <alignment horizontal="center" vertical="center"/>
      <protection/>
    </xf>
    <xf numFmtId="2" fontId="0" fillId="19" borderId="39" xfId="0" applyNumberFormat="1" applyFont="1" applyFill="1" applyBorder="1" applyAlignment="1" applyProtection="1">
      <alignment horizontal="center" vertical="center"/>
      <protection/>
    </xf>
    <xf numFmtId="2" fontId="0" fillId="19" borderId="40" xfId="0" applyNumberFormat="1" applyFont="1" applyFill="1" applyBorder="1" applyAlignment="1" applyProtection="1">
      <alignment horizontal="center" vertical="center"/>
      <protection/>
    </xf>
    <xf numFmtId="0" fontId="3" fillId="0" borderId="40" xfId="0" applyFont="1" applyBorder="1" applyAlignment="1" applyProtection="1">
      <alignment horizontal="center" wrapText="1"/>
      <protection/>
    </xf>
    <xf numFmtId="0" fontId="3" fillId="0" borderId="28" xfId="0" applyFont="1" applyBorder="1" applyAlignment="1" applyProtection="1">
      <alignment horizontal="center" wrapText="1"/>
      <protection/>
    </xf>
    <xf numFmtId="0" fontId="3" fillId="0" borderId="36" xfId="0" applyFont="1" applyBorder="1" applyAlignment="1" applyProtection="1">
      <alignment horizontal="center" wrapText="1"/>
      <protection/>
    </xf>
    <xf numFmtId="0" fontId="3" fillId="0" borderId="26" xfId="0" applyFont="1" applyBorder="1" applyAlignment="1" applyProtection="1">
      <alignment horizontal="center" wrapText="1"/>
      <protection/>
    </xf>
    <xf numFmtId="0" fontId="0" fillId="34" borderId="25" xfId="0" applyFont="1" applyFill="1" applyBorder="1" applyAlignment="1" applyProtection="1">
      <alignment/>
      <protection/>
    </xf>
    <xf numFmtId="0" fontId="0" fillId="34" borderId="14" xfId="0" applyFont="1" applyFill="1" applyBorder="1" applyAlignment="1" applyProtection="1">
      <alignment/>
      <protection/>
    </xf>
    <xf numFmtId="0" fontId="10" fillId="34" borderId="13" xfId="0" applyFont="1" applyFill="1" applyBorder="1" applyAlignment="1" applyProtection="1">
      <alignment wrapText="1"/>
      <protection/>
    </xf>
    <xf numFmtId="0" fontId="5" fillId="34" borderId="64" xfId="0" applyFont="1" applyFill="1" applyBorder="1" applyAlignment="1" applyProtection="1">
      <alignment horizontal="center" wrapText="1"/>
      <protection/>
    </xf>
    <xf numFmtId="0" fontId="5" fillId="34" borderId="14" xfId="0" applyFont="1" applyFill="1" applyBorder="1" applyAlignment="1" applyProtection="1">
      <alignment horizontal="center" wrapText="1"/>
      <protection/>
    </xf>
    <xf numFmtId="0" fontId="5" fillId="34" borderId="49" xfId="0" applyFont="1" applyFill="1" applyBorder="1" applyAlignment="1" applyProtection="1">
      <alignment horizontal="center" wrapText="1"/>
      <protection/>
    </xf>
    <xf numFmtId="0" fontId="5" fillId="34" borderId="52" xfId="0" applyFont="1" applyFill="1" applyBorder="1" applyAlignment="1" applyProtection="1">
      <alignment horizontal="center" wrapText="1"/>
      <protection/>
    </xf>
    <xf numFmtId="0" fontId="0" fillId="0" borderId="54" xfId="0" applyFont="1" applyBorder="1" applyAlignment="1" applyProtection="1">
      <alignment/>
      <protection/>
    </xf>
    <xf numFmtId="0" fontId="0" fillId="0" borderId="17" xfId="0" applyFont="1" applyBorder="1" applyAlignment="1" applyProtection="1">
      <alignment/>
      <protection/>
    </xf>
    <xf numFmtId="0" fontId="0" fillId="0" borderId="18" xfId="0" applyFont="1" applyFill="1" applyBorder="1" applyAlignment="1" applyProtection="1">
      <alignment wrapText="1"/>
      <protection/>
    </xf>
    <xf numFmtId="0" fontId="3" fillId="0" borderId="65" xfId="0" applyFont="1" applyBorder="1" applyAlignment="1" applyProtection="1">
      <alignment horizontal="left" wrapText="1"/>
      <protection/>
    </xf>
    <xf numFmtId="0" fontId="3" fillId="0" borderId="17" xfId="0" applyFont="1" applyBorder="1" applyAlignment="1" applyProtection="1">
      <alignment wrapText="1"/>
      <protection/>
    </xf>
    <xf numFmtId="0" fontId="3" fillId="0" borderId="65" xfId="0" applyFont="1" applyBorder="1" applyAlignment="1" applyProtection="1">
      <alignment wrapText="1"/>
      <protection/>
    </xf>
    <xf numFmtId="0" fontId="0" fillId="34" borderId="48" xfId="0" applyFont="1" applyFill="1" applyBorder="1" applyAlignment="1" applyProtection="1">
      <alignment/>
      <protection/>
    </xf>
    <xf numFmtId="0" fontId="0" fillId="34" borderId="49" xfId="0" applyFont="1" applyFill="1" applyBorder="1" applyAlignment="1" applyProtection="1">
      <alignment horizontal="left"/>
      <protection/>
    </xf>
    <xf numFmtId="0" fontId="10" fillId="34" borderId="48" xfId="0" applyFont="1" applyFill="1" applyBorder="1" applyAlignment="1" applyProtection="1">
      <alignment vertical="top" wrapText="1"/>
      <protection/>
    </xf>
    <xf numFmtId="2" fontId="0" fillId="34" borderId="13" xfId="57" applyNumberFormat="1" applyFont="1" applyFill="1" applyBorder="1" applyAlignment="1" applyProtection="1">
      <alignment/>
      <protection/>
    </xf>
    <xf numFmtId="0" fontId="0" fillId="34" borderId="52" xfId="0" applyFont="1" applyFill="1" applyBorder="1" applyAlignment="1" applyProtection="1">
      <alignment horizontal="center" wrapText="1"/>
      <protection/>
    </xf>
    <xf numFmtId="0" fontId="0" fillId="34" borderId="66" xfId="0" applyFont="1" applyFill="1" applyBorder="1" applyAlignment="1" applyProtection="1">
      <alignment horizontal="center"/>
      <protection/>
    </xf>
    <xf numFmtId="2" fontId="0" fillId="34" borderId="52" xfId="0" applyNumberFormat="1" applyFont="1" applyFill="1" applyBorder="1" applyAlignment="1" applyProtection="1">
      <alignment horizontal="center" wrapText="1"/>
      <protection/>
    </xf>
    <xf numFmtId="0" fontId="0" fillId="34" borderId="66" xfId="57" applyFont="1" applyFill="1" applyBorder="1" applyAlignment="1" applyProtection="1">
      <alignment horizontal="center"/>
      <protection/>
    </xf>
    <xf numFmtId="2" fontId="48" fillId="34" borderId="52" xfId="0" applyNumberFormat="1" applyFont="1" applyFill="1" applyBorder="1" applyAlignment="1" applyProtection="1">
      <alignment/>
      <protection/>
    </xf>
    <xf numFmtId="2" fontId="48" fillId="34" borderId="49" xfId="0" applyNumberFormat="1" applyFont="1" applyFill="1" applyBorder="1" applyAlignment="1" applyProtection="1">
      <alignment/>
      <protection/>
    </xf>
    <xf numFmtId="0" fontId="48" fillId="34" borderId="27" xfId="0" applyFont="1" applyFill="1" applyBorder="1" applyAlignment="1" applyProtection="1">
      <alignment vertical="top" wrapText="1"/>
      <protection/>
    </xf>
    <xf numFmtId="0" fontId="48" fillId="34" borderId="16" xfId="0" applyFont="1" applyFill="1" applyBorder="1" applyAlignment="1" applyProtection="1">
      <alignment horizontal="center"/>
      <protection/>
    </xf>
    <xf numFmtId="0" fontId="5" fillId="34" borderId="26" xfId="0" applyFont="1" applyFill="1" applyBorder="1" applyAlignment="1" applyProtection="1">
      <alignment horizontal="center" wrapText="1"/>
      <protection/>
    </xf>
    <xf numFmtId="0" fontId="0" fillId="34" borderId="67" xfId="0" applyFont="1" applyFill="1" applyBorder="1" applyAlignment="1" applyProtection="1">
      <alignment horizontal="center" vertical="center"/>
      <protection/>
    </xf>
    <xf numFmtId="0" fontId="5" fillId="34" borderId="67" xfId="0" applyFont="1" applyFill="1" applyBorder="1" applyAlignment="1" applyProtection="1">
      <alignment horizontal="center" wrapText="1"/>
      <protection/>
    </xf>
    <xf numFmtId="0" fontId="5" fillId="34" borderId="68" xfId="0" applyFont="1" applyFill="1" applyBorder="1" applyAlignment="1" applyProtection="1">
      <alignment horizontal="center" wrapText="1"/>
      <protection/>
    </xf>
    <xf numFmtId="0" fontId="0" fillId="12" borderId="41" xfId="0" applyFont="1" applyFill="1" applyBorder="1" applyAlignment="1" applyProtection="1">
      <alignment horizontal="center" vertical="center"/>
      <protection/>
    </xf>
    <xf numFmtId="0" fontId="0" fillId="12" borderId="41" xfId="57" applyFont="1" applyFill="1" applyBorder="1" applyAlignment="1" applyProtection="1">
      <alignment horizontal="center" vertical="center"/>
      <protection/>
    </xf>
    <xf numFmtId="0" fontId="0" fillId="12" borderId="28" xfId="57" applyFont="1" applyFill="1" applyBorder="1" applyAlignment="1" applyProtection="1">
      <alignment horizontal="center" vertical="center"/>
      <protection/>
    </xf>
    <xf numFmtId="2" fontId="2" fillId="19" borderId="38" xfId="0" applyNumberFormat="1" applyFont="1" applyFill="1" applyBorder="1" applyAlignment="1" applyProtection="1">
      <alignment horizontal="center" vertical="center" wrapText="1"/>
      <protection/>
    </xf>
    <xf numFmtId="2" fontId="2" fillId="19" borderId="41" xfId="0" applyNumberFormat="1" applyFont="1" applyFill="1" applyBorder="1" applyAlignment="1" applyProtection="1">
      <alignment horizontal="center" vertical="center" wrapText="1"/>
      <protection/>
    </xf>
    <xf numFmtId="2" fontId="2" fillId="19" borderId="15" xfId="0" applyNumberFormat="1" applyFont="1" applyFill="1" applyBorder="1" applyAlignment="1" applyProtection="1">
      <alignment horizontal="center" vertical="center" wrapText="1"/>
      <protection/>
    </xf>
    <xf numFmtId="2" fontId="0" fillId="34" borderId="28" xfId="0" applyNumberFormat="1" applyFont="1" applyFill="1" applyBorder="1" applyAlignment="1" applyProtection="1">
      <alignment horizontal="center" vertical="center" wrapText="1"/>
      <protection/>
    </xf>
    <xf numFmtId="0" fontId="0" fillId="33" borderId="53" xfId="0" applyFont="1" applyFill="1" applyBorder="1" applyAlignment="1" applyProtection="1">
      <alignment horizontal="right" vertical="center"/>
      <protection/>
    </xf>
    <xf numFmtId="0" fontId="0" fillId="33" borderId="0" xfId="0" applyFont="1" applyFill="1" applyBorder="1" applyAlignment="1" applyProtection="1">
      <alignment horizontal="center" vertical="center"/>
      <protection/>
    </xf>
    <xf numFmtId="0" fontId="0" fillId="34" borderId="27" xfId="0" applyFont="1" applyFill="1" applyBorder="1" applyAlignment="1" applyProtection="1">
      <alignment wrapText="1"/>
      <protection/>
    </xf>
    <xf numFmtId="0" fontId="10" fillId="34" borderId="66" xfId="0" applyFont="1" applyFill="1" applyBorder="1" applyAlignment="1" applyProtection="1">
      <alignment vertical="top" wrapText="1"/>
      <protection/>
    </xf>
    <xf numFmtId="0" fontId="0" fillId="34" borderId="0" xfId="0" applyFont="1" applyFill="1" applyBorder="1" applyAlignment="1" applyProtection="1">
      <alignment horizontal="center" vertical="center"/>
      <protection/>
    </xf>
    <xf numFmtId="0" fontId="0" fillId="34" borderId="58" xfId="0" applyFont="1" applyFill="1" applyBorder="1" applyAlignment="1" applyProtection="1">
      <alignment horizontal="center" vertical="center"/>
      <protection/>
    </xf>
    <xf numFmtId="0" fontId="2" fillId="34" borderId="0" xfId="0" applyFont="1" applyFill="1" applyBorder="1" applyAlignment="1" applyProtection="1">
      <alignment horizontal="center" vertical="center" wrapText="1"/>
      <protection/>
    </xf>
    <xf numFmtId="0" fontId="0" fillId="34" borderId="0" xfId="57" applyFont="1" applyFill="1" applyBorder="1" applyAlignment="1" applyProtection="1">
      <alignment horizontal="center" vertical="center"/>
      <protection/>
    </xf>
    <xf numFmtId="0" fontId="5" fillId="34" borderId="59" xfId="0" applyFont="1" applyFill="1" applyBorder="1" applyAlignment="1" applyProtection="1">
      <alignment horizontal="center" vertical="center" wrapText="1"/>
      <protection/>
    </xf>
    <xf numFmtId="0" fontId="0" fillId="34" borderId="58" xfId="57" applyFont="1" applyFill="1" applyBorder="1" applyAlignment="1" applyProtection="1">
      <alignment horizontal="center" vertical="center"/>
      <protection/>
    </xf>
    <xf numFmtId="0" fontId="5" fillId="34" borderId="69" xfId="0" applyNumberFormat="1" applyFont="1" applyFill="1" applyBorder="1" applyAlignment="1" applyProtection="1">
      <alignment horizontal="center" vertical="center" wrapText="1"/>
      <protection/>
    </xf>
    <xf numFmtId="0" fontId="0" fillId="34" borderId="54" xfId="0" applyFill="1" applyBorder="1" applyAlignment="1" applyProtection="1">
      <alignment/>
      <protection/>
    </xf>
    <xf numFmtId="0" fontId="3" fillId="0" borderId="15" xfId="0" applyFont="1" applyBorder="1" applyAlignment="1" applyProtection="1">
      <alignment wrapText="1"/>
      <protection/>
    </xf>
    <xf numFmtId="0" fontId="3" fillId="0" borderId="68" xfId="0" applyFont="1" applyBorder="1" applyAlignment="1" applyProtection="1">
      <alignment wrapText="1"/>
      <protection/>
    </xf>
    <xf numFmtId="0" fontId="3" fillId="0" borderId="19" xfId="0" applyFont="1" applyBorder="1" applyAlignment="1" applyProtection="1">
      <alignment wrapText="1"/>
      <protection/>
    </xf>
    <xf numFmtId="0" fontId="0" fillId="34" borderId="69" xfId="0" applyFill="1" applyBorder="1" applyAlignment="1" applyProtection="1">
      <alignment/>
      <protection/>
    </xf>
    <xf numFmtId="0" fontId="3" fillId="0" borderId="67" xfId="0" applyFont="1" applyBorder="1" applyAlignment="1" applyProtection="1">
      <alignment wrapText="1"/>
      <protection/>
    </xf>
    <xf numFmtId="0" fontId="3" fillId="0" borderId="40" xfId="0" applyNumberFormat="1" applyFont="1" applyFill="1" applyBorder="1" applyAlignment="1" applyProtection="1">
      <alignment wrapText="1"/>
      <protection/>
    </xf>
    <xf numFmtId="0" fontId="3" fillId="0" borderId="37" xfId="0" applyNumberFormat="1" applyFont="1" applyFill="1" applyBorder="1" applyAlignment="1" applyProtection="1">
      <alignment wrapText="1"/>
      <protection/>
    </xf>
    <xf numFmtId="0" fontId="5" fillId="34" borderId="66" xfId="0" applyNumberFormat="1" applyFont="1" applyFill="1" applyBorder="1" applyAlignment="1" applyProtection="1">
      <alignment horizontal="center" wrapText="1"/>
      <protection/>
    </xf>
    <xf numFmtId="0" fontId="5" fillId="34" borderId="64" xfId="0" applyNumberFormat="1" applyFont="1" applyFill="1" applyBorder="1" applyAlignment="1" applyProtection="1">
      <alignment horizontal="center" wrapText="1"/>
      <protection/>
    </xf>
    <xf numFmtId="0" fontId="5" fillId="34" borderId="14" xfId="0" applyNumberFormat="1" applyFont="1" applyFill="1" applyBorder="1" applyAlignment="1" applyProtection="1">
      <alignment horizontal="center" wrapText="1"/>
      <protection/>
    </xf>
    <xf numFmtId="0" fontId="5" fillId="34" borderId="20" xfId="0" applyNumberFormat="1" applyFont="1" applyFill="1" applyBorder="1" applyAlignment="1" applyProtection="1">
      <alignment horizontal="center" wrapText="1"/>
      <protection/>
    </xf>
    <xf numFmtId="0" fontId="5" fillId="34" borderId="52" xfId="0" applyNumberFormat="1" applyFont="1" applyFill="1" applyBorder="1" applyAlignment="1" applyProtection="1">
      <alignment horizontal="center" wrapText="1"/>
      <protection/>
    </xf>
    <xf numFmtId="0" fontId="5" fillId="34" borderId="48" xfId="0" applyNumberFormat="1" applyFont="1" applyFill="1" applyBorder="1" applyAlignment="1" applyProtection="1">
      <alignment horizontal="center" wrapText="1"/>
      <protection/>
    </xf>
    <xf numFmtId="0" fontId="4" fillId="0" borderId="54" xfId="0" applyFont="1" applyFill="1" applyBorder="1" applyAlignment="1" applyProtection="1">
      <alignment/>
      <protection/>
    </xf>
    <xf numFmtId="0" fontId="0" fillId="0" borderId="49" xfId="0" applyFont="1" applyBorder="1" applyAlignment="1" applyProtection="1">
      <alignment/>
      <protection/>
    </xf>
    <xf numFmtId="0" fontId="0" fillId="39" borderId="56" xfId="0" applyFont="1" applyFill="1" applyBorder="1" applyAlignment="1" applyProtection="1">
      <alignment/>
      <protection/>
    </xf>
    <xf numFmtId="0" fontId="0" fillId="0" borderId="41" xfId="0" applyFont="1" applyBorder="1" applyAlignment="1" applyProtection="1">
      <alignment/>
      <protection/>
    </xf>
    <xf numFmtId="0" fontId="0" fillId="36" borderId="57" xfId="0" applyFont="1" applyFill="1" applyBorder="1" applyAlignment="1" applyProtection="1">
      <alignment/>
      <protection/>
    </xf>
    <xf numFmtId="0" fontId="0" fillId="0" borderId="55" xfId="0" applyFont="1" applyBorder="1" applyAlignment="1" applyProtection="1">
      <alignment/>
      <protection/>
    </xf>
    <xf numFmtId="0" fontId="0" fillId="37" borderId="57" xfId="0" applyFont="1" applyFill="1" applyBorder="1" applyAlignment="1" applyProtection="1">
      <alignment/>
      <protection/>
    </xf>
    <xf numFmtId="0" fontId="0" fillId="40" borderId="57" xfId="0" applyFont="1" applyFill="1" applyBorder="1" applyAlignment="1" applyProtection="1">
      <alignment/>
      <protection/>
    </xf>
    <xf numFmtId="0" fontId="0" fillId="12" borderId="57" xfId="0" applyFont="1" applyFill="1" applyBorder="1" applyAlignment="1" applyProtection="1">
      <alignment/>
      <protection/>
    </xf>
    <xf numFmtId="0" fontId="0" fillId="41" borderId="70" xfId="0" applyFont="1" applyFill="1" applyBorder="1" applyAlignment="1" applyProtection="1">
      <alignment/>
      <protection/>
    </xf>
    <xf numFmtId="0" fontId="2" fillId="0" borderId="71" xfId="0" applyFont="1" applyBorder="1" applyAlignment="1" applyProtection="1">
      <alignment/>
      <protection/>
    </xf>
    <xf numFmtId="0" fontId="0" fillId="41" borderId="54" xfId="0" applyFont="1" applyFill="1" applyBorder="1" applyAlignment="1" applyProtection="1">
      <alignment horizontal="center" vertical="center"/>
      <protection/>
    </xf>
    <xf numFmtId="0" fontId="0" fillId="41" borderId="59" xfId="0" applyFont="1" applyFill="1" applyBorder="1" applyAlignment="1" applyProtection="1">
      <alignment horizontal="center" vertical="center"/>
      <protection/>
    </xf>
    <xf numFmtId="0" fontId="0" fillId="42" borderId="38" xfId="0" applyFont="1" applyFill="1" applyBorder="1" applyAlignment="1" applyProtection="1">
      <alignment wrapText="1"/>
      <protection/>
    </xf>
    <xf numFmtId="0" fontId="0" fillId="33" borderId="42" xfId="0" applyFont="1" applyFill="1" applyBorder="1" applyAlignment="1" applyProtection="1">
      <alignment/>
      <protection/>
    </xf>
    <xf numFmtId="0" fontId="0" fillId="36" borderId="40" xfId="0" applyFont="1" applyFill="1" applyBorder="1" applyAlignment="1" applyProtection="1">
      <alignment wrapText="1"/>
      <protection/>
    </xf>
    <xf numFmtId="0" fontId="0" fillId="0" borderId="26" xfId="0" applyFont="1" applyFill="1" applyBorder="1" applyAlignment="1" applyProtection="1">
      <alignment/>
      <protection/>
    </xf>
    <xf numFmtId="0" fontId="0" fillId="12" borderId="42" xfId="57" applyFont="1" applyFill="1" applyBorder="1" applyAlignment="1" applyProtection="1">
      <alignment horizontal="center" vertical="center"/>
      <protection/>
    </xf>
    <xf numFmtId="0" fontId="0" fillId="12" borderId="43" xfId="57" applyFont="1" applyFill="1" applyBorder="1" applyAlignment="1" applyProtection="1">
      <alignment horizontal="center" vertical="center"/>
      <protection/>
    </xf>
    <xf numFmtId="0" fontId="0" fillId="12" borderId="44" xfId="57" applyFont="1" applyFill="1" applyBorder="1" applyAlignment="1" applyProtection="1">
      <alignment horizontal="center" vertical="center"/>
      <protection/>
    </xf>
    <xf numFmtId="2" fontId="0" fillId="16" borderId="30" xfId="0" applyNumberFormat="1" applyFont="1" applyFill="1" applyBorder="1" applyAlignment="1" applyProtection="1">
      <alignment horizontal="center" vertical="center" wrapText="1"/>
      <protection locked="0"/>
    </xf>
    <xf numFmtId="2" fontId="0" fillId="16" borderId="36" xfId="0" applyNumberFormat="1" applyFont="1" applyFill="1" applyBorder="1" applyAlignment="1" applyProtection="1">
      <alignment horizontal="center" vertical="center" wrapText="1"/>
      <protection locked="0"/>
    </xf>
    <xf numFmtId="0" fontId="0" fillId="8" borderId="35" xfId="0" applyFont="1" applyFill="1" applyBorder="1" applyAlignment="1" applyProtection="1">
      <alignment horizontal="center" vertical="center"/>
      <protection/>
    </xf>
    <xf numFmtId="0" fontId="0" fillId="8" borderId="12" xfId="0" applyFont="1" applyFill="1" applyBorder="1" applyAlignment="1" applyProtection="1">
      <alignment horizontal="center" vertical="center"/>
      <protection/>
    </xf>
    <xf numFmtId="0" fontId="0" fillId="8" borderId="37" xfId="0" applyFont="1" applyFill="1" applyBorder="1" applyAlignment="1" applyProtection="1">
      <alignment horizontal="center" vertical="center"/>
      <protection/>
    </xf>
    <xf numFmtId="0" fontId="0" fillId="8" borderId="35" xfId="57" applyFont="1" applyFill="1" applyBorder="1" applyAlignment="1" applyProtection="1">
      <alignment horizontal="center" vertical="center"/>
      <protection/>
    </xf>
    <xf numFmtId="0" fontId="0" fillId="8" borderId="12" xfId="57" applyFont="1" applyFill="1" applyBorder="1" applyAlignment="1" applyProtection="1">
      <alignment horizontal="center" vertical="center"/>
      <protection/>
    </xf>
    <xf numFmtId="0" fontId="0" fillId="8" borderId="37" xfId="57" applyFont="1" applyFill="1" applyBorder="1" applyAlignment="1" applyProtection="1">
      <alignment horizontal="center" vertical="center"/>
      <protection/>
    </xf>
    <xf numFmtId="2" fontId="2" fillId="13" borderId="35" xfId="0" applyNumberFormat="1" applyFont="1" applyFill="1" applyBorder="1" applyAlignment="1" applyProtection="1">
      <alignment horizontal="center" vertical="center"/>
      <protection/>
    </xf>
    <xf numFmtId="2" fontId="2" fillId="13" borderId="12" xfId="0" applyNumberFormat="1" applyFont="1" applyFill="1" applyBorder="1" applyAlignment="1" applyProtection="1">
      <alignment horizontal="center" vertical="center"/>
      <protection/>
    </xf>
    <xf numFmtId="2" fontId="2" fillId="13" borderId="37" xfId="0" applyNumberFormat="1" applyFont="1" applyFill="1" applyBorder="1" applyAlignment="1" applyProtection="1">
      <alignment horizontal="center" vertical="center"/>
      <protection/>
    </xf>
    <xf numFmtId="2" fontId="2" fillId="13" borderId="38" xfId="0" applyNumberFormat="1" applyFont="1" applyFill="1" applyBorder="1" applyAlignment="1" applyProtection="1">
      <alignment horizontal="center" vertical="center"/>
      <protection/>
    </xf>
    <xf numFmtId="2" fontId="2" fillId="13" borderId="39" xfId="0" applyNumberFormat="1" applyFont="1" applyFill="1" applyBorder="1" applyAlignment="1" applyProtection="1">
      <alignment horizontal="center" vertical="center"/>
      <protection/>
    </xf>
    <xf numFmtId="2" fontId="2" fillId="13" borderId="40" xfId="0" applyNumberFormat="1" applyFont="1" applyFill="1" applyBorder="1" applyAlignment="1" applyProtection="1">
      <alignment horizontal="center" vertical="center"/>
      <protection/>
    </xf>
    <xf numFmtId="0" fontId="0" fillId="22" borderId="57" xfId="0" applyFont="1" applyFill="1" applyBorder="1" applyAlignment="1" applyProtection="1">
      <alignment/>
      <protection/>
    </xf>
    <xf numFmtId="0" fontId="0" fillId="16" borderId="57" xfId="0" applyFont="1" applyFill="1" applyBorder="1" applyAlignment="1" applyProtection="1">
      <alignment/>
      <protection/>
    </xf>
    <xf numFmtId="0" fontId="0" fillId="13" borderId="57" xfId="0" applyFont="1" applyFill="1" applyBorder="1" applyAlignment="1" applyProtection="1">
      <alignment/>
      <protection/>
    </xf>
    <xf numFmtId="0" fontId="0" fillId="8" borderId="57" xfId="0" applyFont="1" applyFill="1" applyBorder="1" applyAlignment="1" applyProtection="1">
      <alignment/>
      <protection/>
    </xf>
    <xf numFmtId="0" fontId="0" fillId="8" borderId="41" xfId="0" applyFont="1" applyFill="1" applyBorder="1" applyAlignment="1" applyProtection="1">
      <alignment horizontal="center" vertical="center"/>
      <protection/>
    </xf>
    <xf numFmtId="0" fontId="0" fillId="34" borderId="28" xfId="0" applyFont="1" applyFill="1" applyBorder="1" applyAlignment="1" applyProtection="1">
      <alignment horizontal="center" vertical="center" wrapText="1"/>
      <protection/>
    </xf>
    <xf numFmtId="0" fontId="0" fillId="8" borderId="41" xfId="57" applyFont="1" applyFill="1" applyBorder="1" applyAlignment="1" applyProtection="1">
      <alignment horizontal="center" vertical="center"/>
      <protection/>
    </xf>
    <xf numFmtId="2" fontId="2" fillId="13" borderId="38" xfId="0" applyNumberFormat="1" applyFont="1" applyFill="1" applyBorder="1" applyAlignment="1" applyProtection="1">
      <alignment horizontal="center" vertical="center" wrapText="1"/>
      <protection/>
    </xf>
    <xf numFmtId="2" fontId="2" fillId="13" borderId="41" xfId="0" applyNumberFormat="1" applyFont="1" applyFill="1" applyBorder="1" applyAlignment="1" applyProtection="1">
      <alignment horizontal="center" vertical="center" wrapText="1"/>
      <protection/>
    </xf>
    <xf numFmtId="0" fontId="0" fillId="8" borderId="28" xfId="57" applyFont="1" applyFill="1" applyBorder="1" applyAlignment="1" applyProtection="1">
      <alignment horizontal="center" vertical="center"/>
      <protection/>
    </xf>
    <xf numFmtId="2" fontId="2" fillId="13" borderId="15" xfId="0" applyNumberFormat="1" applyFont="1" applyFill="1" applyBorder="1" applyAlignment="1" applyProtection="1">
      <alignment horizontal="center" vertical="center" wrapText="1"/>
      <protection/>
    </xf>
    <xf numFmtId="0" fontId="10" fillId="34" borderId="52" xfId="0" applyFont="1" applyFill="1" applyBorder="1" applyAlignment="1" applyProtection="1">
      <alignment vertical="top" wrapText="1"/>
      <protection/>
    </xf>
    <xf numFmtId="0" fontId="0" fillId="34" borderId="48" xfId="0" applyFont="1" applyFill="1" applyBorder="1" applyAlignment="1" applyProtection="1">
      <alignment/>
      <protection/>
    </xf>
    <xf numFmtId="0" fontId="0" fillId="8" borderId="42" xfId="57" applyFont="1" applyFill="1" applyBorder="1" applyAlignment="1" applyProtection="1">
      <alignment horizontal="center" vertical="center"/>
      <protection/>
    </xf>
    <xf numFmtId="0" fontId="0" fillId="8" borderId="43" xfId="57" applyFont="1" applyFill="1" applyBorder="1" applyAlignment="1" applyProtection="1">
      <alignment horizontal="center" vertical="center"/>
      <protection/>
    </xf>
    <xf numFmtId="0" fontId="0" fillId="8" borderId="44" xfId="57" applyFont="1" applyFill="1" applyBorder="1" applyAlignment="1" applyProtection="1">
      <alignment horizontal="center" vertical="center"/>
      <protection/>
    </xf>
    <xf numFmtId="2" fontId="2" fillId="13" borderId="55" xfId="0" applyNumberFormat="1" applyFont="1" applyFill="1" applyBorder="1" applyAlignment="1" applyProtection="1">
      <alignment horizontal="center" vertical="center" wrapText="1"/>
      <protection/>
    </xf>
    <xf numFmtId="2" fontId="2" fillId="13" borderId="71" xfId="0" applyNumberFormat="1" applyFont="1" applyFill="1" applyBorder="1" applyAlignment="1" applyProtection="1">
      <alignment horizontal="center" vertical="center" wrapText="1"/>
      <protection/>
    </xf>
    <xf numFmtId="0" fontId="47" fillId="34" borderId="0" xfId="0" applyFont="1" applyFill="1" applyBorder="1" applyAlignment="1" applyProtection="1">
      <alignment horizontal="left" vertical="center"/>
      <protection/>
    </xf>
    <xf numFmtId="0" fontId="0" fillId="34" borderId="0" xfId="0" applyFont="1" applyFill="1" applyBorder="1" applyAlignment="1" applyProtection="1">
      <alignment horizontal="right" vertical="center"/>
      <protection/>
    </xf>
    <xf numFmtId="0" fontId="2" fillId="34" borderId="13" xfId="0" applyFont="1" applyFill="1" applyBorder="1" applyAlignment="1" applyProtection="1">
      <alignment horizontal="center" vertical="center" wrapText="1"/>
      <protection/>
    </xf>
    <xf numFmtId="0" fontId="0" fillId="33" borderId="28" xfId="0" applyFont="1" applyFill="1" applyBorder="1" applyAlignment="1" applyProtection="1">
      <alignment horizontal="right" vertical="center"/>
      <protection/>
    </xf>
    <xf numFmtId="0" fontId="0" fillId="19" borderId="54" xfId="0" applyFont="1" applyFill="1" applyBorder="1" applyAlignment="1" applyProtection="1">
      <alignment horizontal="center" vertical="center"/>
      <protection/>
    </xf>
    <xf numFmtId="0" fontId="0" fillId="19" borderId="59" xfId="0" applyFont="1" applyFill="1" applyBorder="1" applyAlignment="1" applyProtection="1">
      <alignment horizontal="center" vertical="center"/>
      <protection/>
    </xf>
    <xf numFmtId="0" fontId="0" fillId="33" borderId="0" xfId="0" applyFont="1" applyFill="1" applyBorder="1" applyAlignment="1" applyProtection="1">
      <alignment horizontal="left" vertical="center" wrapText="1"/>
      <protection/>
    </xf>
    <xf numFmtId="0" fontId="0" fillId="33" borderId="0" xfId="0" applyFont="1" applyFill="1" applyBorder="1" applyAlignment="1" applyProtection="1">
      <alignment wrapText="1"/>
      <protection/>
    </xf>
    <xf numFmtId="0" fontId="0" fillId="33" borderId="0" xfId="0" applyFont="1" applyFill="1" applyBorder="1" applyAlignment="1" applyProtection="1">
      <alignment vertical="top" wrapText="1"/>
      <protection/>
    </xf>
    <xf numFmtId="0" fontId="0" fillId="33" borderId="0" xfId="0" applyFont="1" applyFill="1" applyBorder="1" applyAlignment="1" applyProtection="1">
      <alignment horizontal="left" vertical="top" wrapText="1"/>
      <protection/>
    </xf>
    <xf numFmtId="0" fontId="2" fillId="33" borderId="0" xfId="0" applyFont="1" applyFill="1" applyBorder="1" applyAlignment="1" applyProtection="1">
      <alignment horizontal="center" wrapText="1"/>
      <protection/>
    </xf>
    <xf numFmtId="0" fontId="2" fillId="0" borderId="0" xfId="0" applyFont="1" applyBorder="1" applyAlignment="1" applyProtection="1">
      <alignment horizontal="center" vertical="center" wrapText="1"/>
      <protection/>
    </xf>
    <xf numFmtId="0" fontId="5" fillId="33" borderId="0" xfId="0" applyNumberFormat="1" applyFont="1" applyFill="1" applyBorder="1" applyAlignment="1" applyProtection="1">
      <alignment horizontal="center" wrapText="1"/>
      <protection/>
    </xf>
    <xf numFmtId="2" fontId="0" fillId="33" borderId="0" xfId="0" applyNumberFormat="1" applyFont="1" applyFill="1" applyBorder="1" applyAlignment="1" applyProtection="1">
      <alignment/>
      <protection/>
    </xf>
    <xf numFmtId="2" fontId="0" fillId="34" borderId="48" xfId="0" applyNumberFormat="1" applyFont="1" applyFill="1" applyBorder="1" applyAlignment="1" applyProtection="1">
      <alignment horizontal="right" wrapText="1"/>
      <protection locked="0"/>
    </xf>
    <xf numFmtId="0" fontId="5" fillId="34" borderId="51" xfId="0" applyNumberFormat="1" applyFont="1" applyFill="1" applyBorder="1" applyAlignment="1" applyProtection="1">
      <alignment horizontal="center" vertical="center" wrapText="1"/>
      <protection/>
    </xf>
    <xf numFmtId="0" fontId="0" fillId="34" borderId="28" xfId="0" applyFont="1" applyFill="1" applyBorder="1" applyAlignment="1" applyProtection="1">
      <alignment/>
      <protection locked="0"/>
    </xf>
    <xf numFmtId="2" fontId="2" fillId="19" borderId="72" xfId="0" applyNumberFormat="1" applyFont="1" applyFill="1" applyBorder="1" applyAlignment="1" applyProtection="1">
      <alignment horizontal="center" vertical="center" wrapText="1"/>
      <protection/>
    </xf>
    <xf numFmtId="2" fontId="2" fillId="19" borderId="60" xfId="0" applyNumberFormat="1" applyFont="1" applyFill="1" applyBorder="1" applyAlignment="1" applyProtection="1">
      <alignment horizontal="center" vertical="center" wrapText="1"/>
      <protection/>
    </xf>
    <xf numFmtId="2" fontId="2" fillId="19" borderId="61" xfId="0" applyNumberFormat="1" applyFont="1" applyFill="1" applyBorder="1" applyAlignment="1" applyProtection="1">
      <alignment horizontal="center" vertical="center" wrapText="1"/>
      <protection/>
    </xf>
    <xf numFmtId="0" fontId="0" fillId="34" borderId="51" xfId="0" applyFont="1" applyFill="1" applyBorder="1" applyAlignment="1" applyProtection="1">
      <alignment horizontal="center"/>
      <protection locked="0"/>
    </xf>
    <xf numFmtId="0" fontId="0" fillId="34" borderId="53" xfId="0" applyFont="1" applyFill="1" applyBorder="1" applyAlignment="1" applyProtection="1">
      <alignment horizontal="center"/>
      <protection locked="0"/>
    </xf>
    <xf numFmtId="0" fontId="0" fillId="34" borderId="51" xfId="0" applyFont="1" applyFill="1" applyBorder="1" applyAlignment="1" applyProtection="1">
      <alignment/>
      <protection locked="0"/>
    </xf>
    <xf numFmtId="0" fontId="0" fillId="33" borderId="41" xfId="0" applyFont="1" applyFill="1" applyBorder="1" applyAlignment="1" applyProtection="1">
      <alignment/>
      <protection locked="0"/>
    </xf>
    <xf numFmtId="0" fontId="0" fillId="33" borderId="71" xfId="0" applyFont="1" applyFill="1" applyBorder="1" applyAlignment="1" applyProtection="1">
      <alignment/>
      <protection locked="0"/>
    </xf>
    <xf numFmtId="1" fontId="0" fillId="33" borderId="10" xfId="0" applyNumberFormat="1" applyFont="1" applyFill="1" applyBorder="1" applyAlignment="1" applyProtection="1">
      <alignment/>
      <protection locked="0"/>
    </xf>
    <xf numFmtId="1" fontId="0" fillId="33" borderId="41" xfId="0" applyNumberFormat="1" applyFont="1" applyFill="1" applyBorder="1" applyAlignment="1" applyProtection="1">
      <alignment/>
      <protection locked="0"/>
    </xf>
    <xf numFmtId="0" fontId="4" fillId="33" borderId="32" xfId="0" applyFont="1" applyFill="1" applyBorder="1" applyAlignment="1" applyProtection="1">
      <alignment horizontal="left" vertical="center" wrapText="1"/>
      <protection locked="0"/>
    </xf>
    <xf numFmtId="0" fontId="4" fillId="33" borderId="31" xfId="0" applyFont="1" applyFill="1" applyBorder="1" applyAlignment="1" applyProtection="1">
      <alignment horizontal="left" vertical="center" wrapText="1"/>
      <protection locked="0"/>
    </xf>
    <xf numFmtId="0" fontId="48" fillId="34" borderId="52" xfId="0" applyFont="1" applyFill="1" applyBorder="1" applyAlignment="1" applyProtection="1">
      <alignment horizontal="right"/>
      <protection locked="0"/>
    </xf>
    <xf numFmtId="0" fontId="48" fillId="34" borderId="51" xfId="0" applyFont="1" applyFill="1" applyBorder="1" applyAlignment="1" applyProtection="1">
      <alignment horizontal="left"/>
      <protection locked="0"/>
    </xf>
    <xf numFmtId="0" fontId="48" fillId="34" borderId="53" xfId="0" applyFont="1" applyFill="1" applyBorder="1" applyAlignment="1" applyProtection="1">
      <alignment horizontal="left"/>
      <protection locked="0"/>
    </xf>
    <xf numFmtId="1" fontId="0" fillId="34" borderId="51" xfId="0" applyNumberFormat="1" applyFont="1" applyFill="1" applyBorder="1" applyAlignment="1" applyProtection="1">
      <alignment wrapText="1"/>
      <protection locked="0"/>
    </xf>
    <xf numFmtId="1" fontId="0" fillId="34" borderId="27" xfId="0" applyNumberFormat="1" applyFont="1" applyFill="1" applyBorder="1" applyAlignment="1" applyProtection="1">
      <alignment/>
      <protection locked="0"/>
    </xf>
    <xf numFmtId="1" fontId="0" fillId="34" borderId="28" xfId="0" applyNumberFormat="1" applyFont="1" applyFill="1" applyBorder="1" applyAlignment="1" applyProtection="1">
      <alignment/>
      <protection locked="0"/>
    </xf>
    <xf numFmtId="0" fontId="0" fillId="33" borderId="62" xfId="0" applyFont="1" applyFill="1" applyBorder="1" applyAlignment="1" applyProtection="1">
      <alignment wrapText="1"/>
      <protection locked="0"/>
    </xf>
    <xf numFmtId="0" fontId="0" fillId="33" borderId="55" xfId="0" applyFont="1" applyFill="1" applyBorder="1" applyAlignment="1" applyProtection="1">
      <alignment wrapText="1"/>
      <protection locked="0"/>
    </xf>
    <xf numFmtId="0" fontId="0" fillId="33" borderId="11" xfId="0" applyFont="1" applyFill="1" applyBorder="1" applyAlignment="1" applyProtection="1">
      <alignment wrapText="1"/>
      <protection locked="0"/>
    </xf>
    <xf numFmtId="0" fontId="0" fillId="33" borderId="71" xfId="0" applyFont="1" applyFill="1" applyBorder="1" applyAlignment="1" applyProtection="1">
      <alignment wrapText="1"/>
      <protection locked="0"/>
    </xf>
    <xf numFmtId="2" fontId="2" fillId="19" borderId="44" xfId="0" applyNumberFormat="1" applyFont="1" applyFill="1" applyBorder="1" applyAlignment="1" applyProtection="1">
      <alignment horizontal="center" vertical="center"/>
      <protection/>
    </xf>
    <xf numFmtId="2" fontId="2" fillId="19" borderId="43" xfId="0" applyNumberFormat="1" applyFont="1" applyFill="1" applyBorder="1" applyAlignment="1" applyProtection="1">
      <alignment horizontal="center" vertical="center"/>
      <protection/>
    </xf>
    <xf numFmtId="2" fontId="2" fillId="19" borderId="42" xfId="0" applyNumberFormat="1" applyFont="1" applyFill="1" applyBorder="1" applyAlignment="1" applyProtection="1">
      <alignment horizontal="center" vertical="center"/>
      <protection/>
    </xf>
    <xf numFmtId="1" fontId="0" fillId="33" borderId="62" xfId="0" applyNumberFormat="1" applyFont="1" applyFill="1" applyBorder="1" applyAlignment="1" applyProtection="1">
      <alignment/>
      <protection locked="0"/>
    </xf>
    <xf numFmtId="1" fontId="0" fillId="33" borderId="55" xfId="0" applyNumberFormat="1" applyFont="1" applyFill="1" applyBorder="1" applyAlignment="1" applyProtection="1">
      <alignment/>
      <protection locked="0"/>
    </xf>
    <xf numFmtId="1" fontId="0" fillId="33" borderId="11" xfId="0" applyNumberFormat="1" applyFont="1" applyFill="1" applyBorder="1" applyAlignment="1" applyProtection="1">
      <alignment/>
      <protection locked="0"/>
    </xf>
    <xf numFmtId="1" fontId="0" fillId="33" borderId="71" xfId="0" applyNumberFormat="1" applyFont="1" applyFill="1" applyBorder="1" applyAlignment="1" applyProtection="1">
      <alignment/>
      <protection locked="0"/>
    </xf>
    <xf numFmtId="0" fontId="0" fillId="34" borderId="53" xfId="0" applyFont="1" applyFill="1" applyBorder="1" applyAlignment="1" applyProtection="1">
      <alignment/>
      <protection locked="0"/>
    </xf>
    <xf numFmtId="43" fontId="0" fillId="0" borderId="14" xfId="0" applyNumberFormat="1" applyFont="1" applyFill="1" applyBorder="1" applyAlignment="1">
      <alignment/>
    </xf>
    <xf numFmtId="2" fontId="0" fillId="0" borderId="13" xfId="0" applyNumberFormat="1" applyFill="1" applyBorder="1" applyAlignment="1">
      <alignment/>
    </xf>
    <xf numFmtId="2" fontId="0" fillId="0" borderId="20" xfId="0" applyNumberFormat="1" applyFill="1" applyBorder="1" applyAlignment="1">
      <alignment/>
    </xf>
    <xf numFmtId="0" fontId="0" fillId="0" borderId="14" xfId="0" applyFont="1" applyBorder="1" applyAlignment="1">
      <alignment horizontal="center" vertical="center" wrapText="1"/>
    </xf>
    <xf numFmtId="0" fontId="0" fillId="0" borderId="64" xfId="0" applyFont="1" applyBorder="1" applyAlignment="1">
      <alignment horizontal="center" vertical="center" wrapText="1"/>
    </xf>
    <xf numFmtId="2" fontId="0" fillId="6" borderId="45" xfId="0" applyNumberFormat="1" applyFill="1" applyBorder="1" applyAlignment="1">
      <alignment horizontal="center" vertical="center"/>
    </xf>
    <xf numFmtId="2" fontId="0" fillId="6" borderId="42" xfId="0" applyNumberFormat="1" applyFill="1" applyBorder="1" applyAlignment="1">
      <alignment horizontal="center" vertical="center"/>
    </xf>
    <xf numFmtId="2" fontId="0" fillId="6" borderId="46" xfId="0" applyNumberFormat="1" applyFill="1" applyBorder="1" applyAlignment="1">
      <alignment horizontal="center" vertical="center"/>
    </xf>
    <xf numFmtId="2" fontId="0" fillId="6" borderId="43" xfId="0" applyNumberFormat="1" applyFill="1" applyBorder="1" applyAlignment="1">
      <alignment horizontal="center" vertical="center"/>
    </xf>
    <xf numFmtId="2" fontId="0" fillId="6" borderId="73" xfId="0" applyNumberFormat="1" applyFill="1" applyBorder="1" applyAlignment="1">
      <alignment horizontal="center" vertical="center"/>
    </xf>
    <xf numFmtId="2" fontId="0" fillId="6" borderId="74" xfId="0" applyNumberFormat="1" applyFill="1" applyBorder="1" applyAlignment="1">
      <alignment horizontal="center" vertical="center"/>
    </xf>
    <xf numFmtId="43" fontId="0" fillId="6" borderId="45" xfId="0" applyNumberFormat="1" applyFill="1" applyBorder="1" applyAlignment="1">
      <alignment horizontal="center" vertical="center"/>
    </xf>
    <xf numFmtId="43" fontId="0" fillId="6" borderId="35" xfId="0" applyNumberFormat="1" applyFill="1" applyBorder="1" applyAlignment="1">
      <alignment horizontal="center" vertical="center"/>
    </xf>
    <xf numFmtId="43" fontId="0" fillId="6" borderId="46" xfId="0" applyNumberFormat="1" applyFill="1" applyBorder="1" applyAlignment="1">
      <alignment horizontal="center" vertical="center"/>
    </xf>
    <xf numFmtId="43" fontId="0" fillId="6" borderId="12" xfId="0" applyNumberFormat="1" applyFill="1" applyBorder="1" applyAlignment="1">
      <alignment horizontal="center" vertical="center"/>
    </xf>
    <xf numFmtId="43" fontId="0" fillId="6" borderId="47" xfId="0" applyNumberFormat="1" applyFill="1" applyBorder="1" applyAlignment="1">
      <alignment horizontal="center" vertical="center"/>
    </xf>
    <xf numFmtId="43" fontId="0" fillId="6" borderId="37" xfId="0" applyNumberFormat="1" applyFill="1" applyBorder="1" applyAlignment="1">
      <alignment horizontal="center" vertical="center"/>
    </xf>
    <xf numFmtId="2" fontId="0" fillId="7" borderId="38" xfId="0" applyNumberFormat="1" applyFill="1" applyBorder="1" applyAlignment="1">
      <alignment horizontal="center" vertical="center" wrapText="1"/>
    </xf>
    <xf numFmtId="2" fontId="0" fillId="7" borderId="35" xfId="0" applyNumberFormat="1" applyFill="1" applyBorder="1" applyAlignment="1">
      <alignment horizontal="center" vertical="center"/>
    </xf>
    <xf numFmtId="2" fontId="0" fillId="7" borderId="40" xfId="0" applyNumberFormat="1" applyFill="1" applyBorder="1" applyAlignment="1">
      <alignment horizontal="center" vertical="center" wrapText="1"/>
    </xf>
    <xf numFmtId="2" fontId="0" fillId="7" borderId="37" xfId="0" applyNumberFormat="1" applyFont="1" applyFill="1" applyBorder="1" applyAlignment="1">
      <alignment horizontal="center" vertical="center"/>
    </xf>
    <xf numFmtId="2" fontId="0" fillId="13" borderId="24" xfId="0" applyNumberFormat="1" applyFill="1" applyBorder="1" applyAlignment="1">
      <alignment horizontal="center" vertical="center"/>
    </xf>
    <xf numFmtId="2" fontId="0" fillId="6" borderId="38" xfId="0" applyNumberFormat="1" applyFill="1" applyBorder="1" applyAlignment="1">
      <alignment horizontal="center" vertical="center"/>
    </xf>
    <xf numFmtId="2" fontId="0" fillId="6" borderId="35" xfId="0" applyNumberFormat="1" applyFill="1" applyBorder="1" applyAlignment="1">
      <alignment horizontal="center" vertical="center"/>
    </xf>
    <xf numFmtId="2" fontId="0" fillId="6" borderId="40" xfId="0" applyNumberFormat="1" applyFill="1" applyBorder="1" applyAlignment="1">
      <alignment horizontal="center" vertical="center"/>
    </xf>
    <xf numFmtId="2" fontId="0" fillId="6" borderId="47" xfId="0" applyNumberFormat="1" applyFill="1" applyBorder="1" applyAlignment="1">
      <alignment horizontal="center" vertical="center"/>
    </xf>
    <xf numFmtId="2" fontId="0" fillId="6" borderId="37" xfId="0" applyNumberFormat="1" applyFill="1" applyBorder="1" applyAlignment="1">
      <alignment horizontal="center" vertical="center"/>
    </xf>
    <xf numFmtId="2" fontId="0" fillId="6" borderId="45" xfId="0" applyNumberFormat="1" applyFill="1" applyBorder="1" applyAlignment="1">
      <alignment horizontal="left" vertical="center"/>
    </xf>
    <xf numFmtId="2" fontId="0" fillId="6" borderId="35" xfId="0" applyNumberFormat="1" applyFill="1" applyBorder="1" applyAlignment="1">
      <alignment horizontal="left" vertical="center"/>
    </xf>
    <xf numFmtId="2" fontId="0" fillId="6" borderId="46" xfId="0" applyNumberFormat="1" applyFill="1" applyBorder="1" applyAlignment="1">
      <alignment horizontal="left" vertical="center"/>
    </xf>
    <xf numFmtId="2" fontId="0" fillId="6" borderId="12" xfId="0" applyNumberFormat="1" applyFill="1" applyBorder="1" applyAlignment="1">
      <alignment horizontal="left" vertical="center"/>
    </xf>
    <xf numFmtId="2" fontId="0" fillId="7" borderId="22" xfId="0" applyNumberFormat="1" applyFill="1" applyBorder="1" applyAlignment="1">
      <alignment horizontal="center" vertical="center"/>
    </xf>
    <xf numFmtId="2" fontId="0" fillId="7" borderId="23" xfId="0" applyNumberFormat="1" applyFill="1" applyBorder="1" applyAlignment="1">
      <alignment horizontal="center" vertical="center"/>
    </xf>
    <xf numFmtId="2" fontId="0" fillId="7" borderId="24" xfId="0" applyNumberFormat="1" applyFill="1" applyBorder="1" applyAlignment="1">
      <alignment horizontal="center" vertical="center"/>
    </xf>
    <xf numFmtId="2" fontId="0" fillId="7" borderId="15" xfId="0" applyNumberFormat="1" applyFill="1" applyBorder="1" applyAlignment="1">
      <alignment horizontal="center" vertical="center"/>
    </xf>
    <xf numFmtId="2" fontId="0" fillId="7" borderId="16" xfId="0" applyNumberFormat="1" applyFill="1" applyBorder="1" applyAlignment="1">
      <alignment horizontal="center" vertical="center"/>
    </xf>
    <xf numFmtId="2" fontId="0" fillId="7" borderId="68" xfId="0" applyNumberFormat="1" applyFill="1" applyBorder="1" applyAlignment="1">
      <alignment horizontal="center" vertical="center"/>
    </xf>
    <xf numFmtId="0" fontId="0" fillId="6" borderId="38" xfId="0" applyFill="1" applyBorder="1" applyAlignment="1">
      <alignment horizontal="left" vertical="center"/>
    </xf>
    <xf numFmtId="0" fontId="0" fillId="6" borderId="45" xfId="0" applyFill="1" applyBorder="1" applyAlignment="1">
      <alignment horizontal="left" vertical="center"/>
    </xf>
    <xf numFmtId="0" fontId="0" fillId="6" borderId="35" xfId="0" applyFill="1" applyBorder="1" applyAlignment="1">
      <alignment horizontal="left" vertical="center"/>
    </xf>
    <xf numFmtId="0" fontId="0" fillId="6" borderId="39" xfId="0" applyFill="1" applyBorder="1" applyAlignment="1">
      <alignment horizontal="left" vertical="center"/>
    </xf>
    <xf numFmtId="0" fontId="0" fillId="6" borderId="46" xfId="0" applyFill="1" applyBorder="1" applyAlignment="1">
      <alignment horizontal="left" vertical="center"/>
    </xf>
    <xf numFmtId="0" fontId="0" fillId="6" borderId="12" xfId="0" applyFill="1" applyBorder="1" applyAlignment="1">
      <alignment horizontal="left" vertical="center"/>
    </xf>
    <xf numFmtId="2" fontId="2" fillId="13" borderId="59" xfId="0" applyNumberFormat="1" applyFont="1" applyFill="1" applyBorder="1" applyAlignment="1">
      <alignment horizontal="center" vertical="center"/>
    </xf>
    <xf numFmtId="43" fontId="0" fillId="6" borderId="38" xfId="0" applyNumberFormat="1" applyFill="1" applyBorder="1" applyAlignment="1">
      <alignment horizontal="left" vertical="center"/>
    </xf>
    <xf numFmtId="43" fontId="0" fillId="6" borderId="39" xfId="0" applyNumberFormat="1" applyFill="1" applyBorder="1" applyAlignment="1">
      <alignment horizontal="left" vertical="center"/>
    </xf>
    <xf numFmtId="43" fontId="0" fillId="6" borderId="40" xfId="0" applyNumberFormat="1" applyFill="1" applyBorder="1" applyAlignment="1">
      <alignment horizontal="left" vertical="center"/>
    </xf>
    <xf numFmtId="43" fontId="0" fillId="6" borderId="75" xfId="0" applyNumberFormat="1" applyFill="1" applyBorder="1" applyAlignment="1">
      <alignment horizontal="left" vertical="center"/>
    </xf>
    <xf numFmtId="43" fontId="0" fillId="4" borderId="39" xfId="0" applyNumberFormat="1" applyFill="1" applyBorder="1" applyAlignment="1">
      <alignment horizontal="left" vertical="center"/>
    </xf>
    <xf numFmtId="43" fontId="0" fillId="4" borderId="38" xfId="0" applyNumberFormat="1" applyFill="1" applyBorder="1" applyAlignment="1">
      <alignment horizontal="left" vertical="center"/>
    </xf>
    <xf numFmtId="43" fontId="0" fillId="4" borderId="75" xfId="0" applyNumberFormat="1" applyFill="1" applyBorder="1" applyAlignment="1">
      <alignment horizontal="left" vertical="center"/>
    </xf>
    <xf numFmtId="43" fontId="0" fillId="4" borderId="40" xfId="0" applyNumberFormat="1" applyFill="1" applyBorder="1" applyAlignment="1">
      <alignment horizontal="left" vertical="center"/>
    </xf>
    <xf numFmtId="43" fontId="0" fillId="4" borderId="46" xfId="0" applyNumberFormat="1" applyFill="1" applyBorder="1" applyAlignment="1">
      <alignment horizontal="center" vertical="center"/>
    </xf>
    <xf numFmtId="43" fontId="0" fillId="4" borderId="45" xfId="0" applyNumberFormat="1" applyFill="1" applyBorder="1" applyAlignment="1">
      <alignment horizontal="center" vertical="center"/>
    </xf>
    <xf numFmtId="43" fontId="0" fillId="4" borderId="47" xfId="0" applyNumberFormat="1" applyFill="1" applyBorder="1" applyAlignment="1">
      <alignment horizontal="center" vertical="center"/>
    </xf>
    <xf numFmtId="2" fontId="0" fillId="4" borderId="45" xfId="0" applyNumberFormat="1" applyFill="1" applyBorder="1" applyAlignment="1">
      <alignment horizontal="center" vertical="center"/>
    </xf>
    <xf numFmtId="2" fontId="0" fillId="4" borderId="42" xfId="0" applyNumberFormat="1" applyFill="1" applyBorder="1" applyAlignment="1">
      <alignment horizontal="center" vertical="center"/>
    </xf>
    <xf numFmtId="2" fontId="0" fillId="4" borderId="46" xfId="0" applyNumberFormat="1" applyFill="1" applyBorder="1" applyAlignment="1">
      <alignment horizontal="center" vertical="center"/>
    </xf>
    <xf numFmtId="2" fontId="0" fillId="4" borderId="43" xfId="0" applyNumberFormat="1" applyFill="1" applyBorder="1" applyAlignment="1">
      <alignment horizontal="center" vertical="center"/>
    </xf>
    <xf numFmtId="2" fontId="0" fillId="4" borderId="73" xfId="0" applyNumberFormat="1" applyFill="1" applyBorder="1" applyAlignment="1">
      <alignment horizontal="center" vertical="center"/>
    </xf>
    <xf numFmtId="2" fontId="0" fillId="4" borderId="74" xfId="0" applyNumberFormat="1" applyFill="1" applyBorder="1" applyAlignment="1">
      <alignment horizontal="center" vertical="center"/>
    </xf>
    <xf numFmtId="0" fontId="0" fillId="4" borderId="38" xfId="0" applyFill="1" applyBorder="1" applyAlignment="1">
      <alignment horizontal="left" vertical="center"/>
    </xf>
    <xf numFmtId="0" fontId="0" fillId="4" borderId="45" xfId="0" applyFill="1" applyBorder="1" applyAlignment="1">
      <alignment horizontal="left" vertical="center"/>
    </xf>
    <xf numFmtId="0" fontId="0" fillId="4" borderId="35" xfId="0" applyFill="1" applyBorder="1" applyAlignment="1">
      <alignment horizontal="left" vertical="center"/>
    </xf>
    <xf numFmtId="0" fontId="0" fillId="4" borderId="39" xfId="0" applyFill="1" applyBorder="1" applyAlignment="1">
      <alignment horizontal="left" vertical="center"/>
    </xf>
    <xf numFmtId="0" fontId="0" fillId="4" borderId="46" xfId="0" applyFill="1" applyBorder="1" applyAlignment="1">
      <alignment horizontal="left" vertical="center"/>
    </xf>
    <xf numFmtId="0" fontId="0" fillId="4" borderId="12" xfId="0" applyFill="1" applyBorder="1" applyAlignment="1">
      <alignment horizontal="left" vertical="center"/>
    </xf>
    <xf numFmtId="0" fontId="0" fillId="4" borderId="47" xfId="0" applyFill="1" applyBorder="1" applyAlignment="1">
      <alignment horizontal="left" vertical="center"/>
    </xf>
    <xf numFmtId="0" fontId="0" fillId="4" borderId="37" xfId="0" applyFill="1" applyBorder="1" applyAlignment="1">
      <alignment horizontal="left" vertical="center"/>
    </xf>
    <xf numFmtId="2" fontId="0" fillId="4" borderId="50" xfId="0" applyNumberFormat="1" applyFill="1" applyBorder="1" applyAlignment="1">
      <alignment horizontal="left" vertical="center"/>
    </xf>
    <xf numFmtId="2" fontId="0" fillId="4" borderId="76" xfId="0" applyNumberFormat="1" applyFill="1" applyBorder="1" applyAlignment="1">
      <alignment horizontal="left" vertical="center"/>
    </xf>
    <xf numFmtId="2" fontId="0" fillId="4" borderId="33" xfId="0" applyNumberFormat="1" applyFill="1" applyBorder="1" applyAlignment="1">
      <alignment horizontal="left" vertical="center"/>
    </xf>
    <xf numFmtId="2" fontId="0" fillId="4" borderId="39" xfId="0" applyNumberFormat="1" applyFill="1" applyBorder="1" applyAlignment="1">
      <alignment horizontal="left" vertical="center"/>
    </xf>
    <xf numFmtId="2" fontId="0" fillId="4" borderId="46" xfId="0" applyNumberFormat="1" applyFill="1" applyBorder="1" applyAlignment="1">
      <alignment horizontal="left" vertical="center"/>
    </xf>
    <xf numFmtId="2" fontId="0" fillId="4" borderId="12" xfId="0" applyNumberFormat="1" applyFill="1" applyBorder="1" applyAlignment="1">
      <alignment horizontal="left" vertical="center"/>
    </xf>
    <xf numFmtId="2" fontId="0" fillId="4" borderId="75" xfId="0" applyNumberFormat="1" applyFill="1" applyBorder="1" applyAlignment="1">
      <alignment horizontal="left" vertical="center"/>
    </xf>
    <xf numFmtId="2" fontId="0" fillId="4" borderId="73" xfId="0" applyNumberFormat="1" applyFill="1" applyBorder="1" applyAlignment="1">
      <alignment horizontal="left" vertical="center"/>
    </xf>
    <xf numFmtId="2" fontId="0" fillId="4" borderId="77" xfId="0" applyNumberFormat="1" applyFill="1" applyBorder="1" applyAlignment="1">
      <alignment horizontal="left" vertical="center"/>
    </xf>
    <xf numFmtId="2" fontId="0" fillId="4" borderId="38" xfId="0" applyNumberFormat="1" applyFill="1" applyBorder="1" applyAlignment="1">
      <alignment horizontal="left" vertical="center"/>
    </xf>
    <xf numFmtId="2" fontId="0" fillId="4" borderId="45" xfId="0" applyNumberFormat="1" applyFill="1" applyBorder="1" applyAlignment="1">
      <alignment horizontal="left" vertical="center"/>
    </xf>
    <xf numFmtId="2" fontId="0" fillId="4" borderId="35" xfId="0" applyNumberFormat="1" applyFill="1" applyBorder="1" applyAlignment="1">
      <alignment horizontal="left" vertical="center"/>
    </xf>
    <xf numFmtId="2" fontId="0" fillId="4" borderId="47" xfId="0" applyNumberFormat="1" applyFill="1" applyBorder="1" applyAlignment="1">
      <alignment horizontal="center" vertical="center"/>
    </xf>
    <xf numFmtId="2" fontId="0" fillId="4" borderId="44" xfId="0" applyNumberFormat="1" applyFill="1" applyBorder="1" applyAlignment="1">
      <alignment horizontal="center" vertical="center"/>
    </xf>
    <xf numFmtId="2" fontId="0" fillId="7" borderId="45" xfId="0" applyNumberFormat="1" applyFill="1" applyBorder="1" applyAlignment="1">
      <alignment horizontal="center" vertical="center" wrapText="1"/>
    </xf>
    <xf numFmtId="2" fontId="0" fillId="7" borderId="47" xfId="0" applyNumberFormat="1" applyFill="1" applyBorder="1" applyAlignment="1">
      <alignment horizontal="center" vertical="center" wrapText="1"/>
    </xf>
    <xf numFmtId="2" fontId="0" fillId="13" borderId="22" xfId="0" applyNumberFormat="1" applyFont="1" applyFill="1" applyBorder="1" applyAlignment="1">
      <alignment horizontal="center" vertical="center"/>
    </xf>
    <xf numFmtId="2" fontId="0" fillId="13" borderId="23" xfId="0" applyNumberFormat="1" applyFill="1" applyBorder="1" applyAlignment="1">
      <alignment horizontal="center" vertical="center" wrapText="1"/>
    </xf>
    <xf numFmtId="2" fontId="0" fillId="4" borderId="38" xfId="0" applyNumberFormat="1" applyFill="1" applyBorder="1" applyAlignment="1">
      <alignment horizontal="center" vertical="center"/>
    </xf>
    <xf numFmtId="2" fontId="0" fillId="4" borderId="35" xfId="0" applyNumberFormat="1" applyFill="1" applyBorder="1" applyAlignment="1">
      <alignment horizontal="center" vertical="center"/>
    </xf>
    <xf numFmtId="2" fontId="0" fillId="4" borderId="40" xfId="0" applyNumberFormat="1" applyFill="1" applyBorder="1" applyAlignment="1">
      <alignment horizontal="center" vertical="center"/>
    </xf>
    <xf numFmtId="2" fontId="0" fillId="4" borderId="37" xfId="0" applyNumberFormat="1" applyFill="1" applyBorder="1" applyAlignment="1">
      <alignment horizontal="center" vertical="center"/>
    </xf>
    <xf numFmtId="0" fontId="0" fillId="33" borderId="0" xfId="0" applyFont="1" applyFill="1" applyAlignment="1" applyProtection="1">
      <alignment vertical="center" wrapText="1"/>
      <protection locked="0"/>
    </xf>
    <xf numFmtId="0" fontId="0" fillId="33" borderId="0" xfId="0" applyFont="1" applyFill="1" applyBorder="1" applyAlignment="1" applyProtection="1">
      <alignment vertical="center" wrapText="1"/>
      <protection locked="0"/>
    </xf>
    <xf numFmtId="0" fontId="0" fillId="34" borderId="51" xfId="0" applyFont="1" applyFill="1" applyBorder="1" applyAlignment="1" applyProtection="1">
      <alignment vertical="center"/>
      <protection locked="0"/>
    </xf>
    <xf numFmtId="0" fontId="0" fillId="34" borderId="53" xfId="0" applyFont="1" applyFill="1" applyBorder="1" applyAlignment="1" applyProtection="1">
      <alignment vertical="center"/>
      <protection locked="0"/>
    </xf>
    <xf numFmtId="0" fontId="0" fillId="0" borderId="78" xfId="0" applyFont="1" applyBorder="1" applyAlignment="1" applyProtection="1">
      <alignment vertical="center"/>
      <protection locked="0"/>
    </xf>
    <xf numFmtId="0" fontId="0" fillId="8" borderId="38" xfId="0" applyFont="1" applyFill="1" applyBorder="1" applyAlignment="1" applyProtection="1">
      <alignment horizontal="left" vertical="center"/>
      <protection locked="0"/>
    </xf>
    <xf numFmtId="1" fontId="0" fillId="33" borderId="10" xfId="0" applyNumberFormat="1" applyFont="1" applyFill="1" applyBorder="1" applyAlignment="1" applyProtection="1">
      <alignment vertical="center"/>
      <protection locked="0"/>
    </xf>
    <xf numFmtId="0" fontId="0" fillId="8" borderId="39" xfId="0" applyFont="1" applyFill="1" applyBorder="1" applyAlignment="1" applyProtection="1">
      <alignment horizontal="left" vertical="center"/>
      <protection locked="0"/>
    </xf>
    <xf numFmtId="0" fontId="0" fillId="16" borderId="46" xfId="57" applyFont="1" applyFill="1" applyBorder="1" applyAlignment="1" applyProtection="1">
      <alignment vertical="center" wrapText="1"/>
      <protection locked="0"/>
    </xf>
    <xf numFmtId="1" fontId="0" fillId="33" borderId="62" xfId="0" applyNumberFormat="1" applyFont="1" applyFill="1" applyBorder="1" applyAlignment="1" applyProtection="1">
      <alignment vertical="center"/>
      <protection locked="0"/>
    </xf>
    <xf numFmtId="0" fontId="0" fillId="0" borderId="79" xfId="0" applyFont="1" applyBorder="1" applyAlignment="1" applyProtection="1">
      <alignment vertical="center"/>
      <protection locked="0"/>
    </xf>
    <xf numFmtId="0" fontId="0" fillId="8" borderId="40" xfId="0" applyFont="1" applyFill="1" applyBorder="1" applyAlignment="1" applyProtection="1">
      <alignment horizontal="left" vertical="center"/>
      <protection locked="0"/>
    </xf>
    <xf numFmtId="0" fontId="0" fillId="16" borderId="47" xfId="57" applyFont="1" applyFill="1" applyBorder="1" applyAlignment="1" applyProtection="1">
      <alignment vertical="center" wrapText="1"/>
      <protection locked="0"/>
    </xf>
    <xf numFmtId="1" fontId="0" fillId="33" borderId="11" xfId="0" applyNumberFormat="1" applyFont="1" applyFill="1" applyBorder="1" applyAlignment="1" applyProtection="1">
      <alignment vertical="center"/>
      <protection locked="0"/>
    </xf>
    <xf numFmtId="0" fontId="0" fillId="34" borderId="48" xfId="0" applyFont="1" applyFill="1" applyBorder="1" applyAlignment="1" applyProtection="1">
      <alignment vertical="center"/>
      <protection locked="0"/>
    </xf>
    <xf numFmtId="0" fontId="0" fillId="34" borderId="0" xfId="0" applyFont="1" applyFill="1" applyBorder="1" applyAlignment="1" applyProtection="1">
      <alignment horizontal="left" vertical="center"/>
      <protection locked="0"/>
    </xf>
    <xf numFmtId="0" fontId="48" fillId="34" borderId="59" xfId="57" applyFont="1" applyFill="1" applyBorder="1" applyAlignment="1" applyProtection="1">
      <alignment horizontal="right" vertical="center" wrapText="1"/>
      <protection/>
    </xf>
    <xf numFmtId="2" fontId="0" fillId="13" borderId="59" xfId="57" applyNumberFormat="1" applyFont="1" applyFill="1" applyBorder="1" applyAlignment="1" applyProtection="1">
      <alignment vertical="center"/>
      <protection/>
    </xf>
    <xf numFmtId="2" fontId="0" fillId="34" borderId="0" xfId="57" applyNumberFormat="1" applyFont="1" applyFill="1" applyBorder="1" applyAlignment="1" applyProtection="1">
      <alignment vertical="center"/>
      <protection/>
    </xf>
    <xf numFmtId="2" fontId="0" fillId="34" borderId="21" xfId="57" applyNumberFormat="1" applyFont="1" applyFill="1" applyBorder="1" applyAlignment="1" applyProtection="1">
      <alignment vertical="center"/>
      <protection/>
    </xf>
    <xf numFmtId="2" fontId="0" fillId="13" borderId="67" xfId="57" applyNumberFormat="1" applyFont="1" applyFill="1" applyBorder="1" applyAlignment="1" applyProtection="1">
      <alignment vertical="center"/>
      <protection/>
    </xf>
    <xf numFmtId="2" fontId="0" fillId="13" borderId="68" xfId="57" applyNumberFormat="1" applyFont="1" applyFill="1" applyBorder="1" applyAlignment="1" applyProtection="1">
      <alignment vertical="center"/>
      <protection/>
    </xf>
    <xf numFmtId="2" fontId="0" fillId="13" borderId="15" xfId="57" applyNumberFormat="1" applyFont="1" applyFill="1" applyBorder="1" applyAlignment="1" applyProtection="1">
      <alignment vertical="center"/>
      <protection/>
    </xf>
    <xf numFmtId="2" fontId="0" fillId="13" borderId="28" xfId="57" applyNumberFormat="1" applyFont="1" applyFill="1" applyBorder="1" applyAlignment="1" applyProtection="1">
      <alignment vertical="center"/>
      <protection/>
    </xf>
    <xf numFmtId="2" fontId="0" fillId="13" borderId="27" xfId="57" applyNumberFormat="1" applyFont="1" applyFill="1" applyBorder="1" applyAlignment="1" applyProtection="1">
      <alignment vertical="center"/>
      <protection/>
    </xf>
    <xf numFmtId="0" fontId="48" fillId="34" borderId="51" xfId="0" applyFont="1" applyFill="1" applyBorder="1" applyAlignment="1" applyProtection="1">
      <alignment horizontal="left" vertical="center"/>
      <protection locked="0"/>
    </xf>
    <xf numFmtId="0" fontId="48" fillId="34" borderId="0" xfId="57" applyFont="1" applyFill="1" applyBorder="1" applyAlignment="1" applyProtection="1">
      <alignment vertical="center" wrapText="1"/>
      <protection locked="0"/>
    </xf>
    <xf numFmtId="2" fontId="0" fillId="34" borderId="52" xfId="57" applyNumberFormat="1" applyFont="1" applyFill="1" applyBorder="1" applyAlignment="1" applyProtection="1">
      <alignment vertical="center"/>
      <protection locked="0"/>
    </xf>
    <xf numFmtId="2" fontId="0" fillId="34" borderId="21" xfId="57" applyNumberFormat="1" applyFont="1" applyFill="1" applyBorder="1" applyAlignment="1" applyProtection="1">
      <alignment vertical="center"/>
      <protection locked="0"/>
    </xf>
    <xf numFmtId="2" fontId="0" fillId="34" borderId="0" xfId="57" applyNumberFormat="1" applyFont="1" applyFill="1" applyBorder="1" applyAlignment="1" applyProtection="1">
      <alignment vertical="center"/>
      <protection locked="0"/>
    </xf>
    <xf numFmtId="2" fontId="0" fillId="34" borderId="51" xfId="57" applyNumberFormat="1" applyFont="1" applyFill="1" applyBorder="1" applyAlignment="1" applyProtection="1">
      <alignment vertical="center"/>
      <protection locked="0"/>
    </xf>
    <xf numFmtId="0" fontId="0" fillId="34" borderId="0" xfId="0" applyFont="1" applyFill="1" applyBorder="1" applyAlignment="1" applyProtection="1">
      <alignment vertical="center" wrapText="1"/>
      <protection locked="0"/>
    </xf>
    <xf numFmtId="0" fontId="48" fillId="34" borderId="59" xfId="0" applyFont="1" applyFill="1" applyBorder="1" applyAlignment="1" applyProtection="1">
      <alignment horizontal="center" vertical="center" wrapText="1"/>
      <protection/>
    </xf>
    <xf numFmtId="0" fontId="48" fillId="34" borderId="26" xfId="57" applyFont="1" applyFill="1" applyBorder="1" applyAlignment="1" applyProtection="1">
      <alignment vertical="center" wrapText="1"/>
      <protection locked="0"/>
    </xf>
    <xf numFmtId="2" fontId="0" fillId="34" borderId="26" xfId="57" applyNumberFormat="1" applyFont="1" applyFill="1" applyBorder="1" applyAlignment="1" applyProtection="1">
      <alignment vertical="center"/>
      <protection locked="0"/>
    </xf>
    <xf numFmtId="2" fontId="0" fillId="34" borderId="19" xfId="57" applyNumberFormat="1" applyFont="1" applyFill="1" applyBorder="1" applyAlignment="1" applyProtection="1">
      <alignment vertical="center"/>
      <protection locked="0"/>
    </xf>
    <xf numFmtId="2" fontId="0" fillId="19" borderId="54" xfId="0" applyNumberFormat="1" applyFont="1" applyFill="1" applyBorder="1" applyAlignment="1" applyProtection="1">
      <alignment vertical="center" wrapText="1"/>
      <protection/>
    </xf>
    <xf numFmtId="1" fontId="0" fillId="34" borderId="51" xfId="0" applyNumberFormat="1" applyFont="1" applyFill="1" applyBorder="1" applyAlignment="1" applyProtection="1">
      <alignment vertical="center" wrapText="1"/>
      <protection locked="0"/>
    </xf>
    <xf numFmtId="0" fontId="0" fillId="34" borderId="27" xfId="0" applyFont="1" applyFill="1" applyBorder="1" applyAlignment="1" applyProtection="1">
      <alignment vertical="center" wrapText="1"/>
      <protection/>
    </xf>
    <xf numFmtId="0" fontId="0" fillId="34" borderId="53" xfId="0" applyFont="1" applyFill="1" applyBorder="1" applyAlignment="1" applyProtection="1">
      <alignment vertical="center" wrapText="1"/>
      <protection locked="0"/>
    </xf>
    <xf numFmtId="0" fontId="5" fillId="34" borderId="10" xfId="0" applyFont="1" applyFill="1" applyBorder="1" applyAlignment="1" applyProtection="1">
      <alignment horizontal="right" vertical="center" wrapText="1"/>
      <protection/>
    </xf>
    <xf numFmtId="0" fontId="0" fillId="33" borderId="10" xfId="0" applyFont="1" applyFill="1" applyBorder="1" applyAlignment="1" applyProtection="1">
      <alignment vertical="center" wrapText="1"/>
      <protection locked="0"/>
    </xf>
    <xf numFmtId="0" fontId="5" fillId="34" borderId="27" xfId="0" applyFont="1" applyFill="1" applyBorder="1" applyAlignment="1" applyProtection="1">
      <alignment horizontal="right" vertical="center" wrapText="1"/>
      <protection/>
    </xf>
    <xf numFmtId="0" fontId="0" fillId="33" borderId="62" xfId="0" applyFont="1" applyFill="1" applyBorder="1" applyAlignment="1" applyProtection="1">
      <alignment vertical="center" wrapText="1"/>
      <protection locked="0"/>
    </xf>
    <xf numFmtId="0" fontId="0" fillId="33" borderId="11" xfId="0" applyFont="1" applyFill="1" applyBorder="1" applyAlignment="1" applyProtection="1">
      <alignment vertical="center" wrapText="1"/>
      <protection locked="0"/>
    </xf>
    <xf numFmtId="0" fontId="0" fillId="34" borderId="32" xfId="0" applyFont="1" applyFill="1" applyBorder="1" applyAlignment="1" applyProtection="1">
      <alignment vertical="center"/>
      <protection locked="0"/>
    </xf>
    <xf numFmtId="0" fontId="0" fillId="34" borderId="31" xfId="0" applyFont="1" applyFill="1" applyBorder="1" applyAlignment="1" applyProtection="1">
      <alignment horizontal="left" vertical="center"/>
      <protection locked="0"/>
    </xf>
    <xf numFmtId="0" fontId="48" fillId="34" borderId="25" xfId="57" applyFont="1" applyFill="1" applyBorder="1" applyAlignment="1" applyProtection="1">
      <alignment horizontal="right" vertical="center" wrapText="1"/>
      <protection locked="0"/>
    </xf>
    <xf numFmtId="2" fontId="0" fillId="13" borderId="25" xfId="0" applyNumberFormat="1" applyFont="1" applyFill="1" applyBorder="1" applyAlignment="1" applyProtection="1">
      <alignment vertical="center" wrapText="1"/>
      <protection/>
    </xf>
    <xf numFmtId="2" fontId="0" fillId="34" borderId="32" xfId="57" applyNumberFormat="1" applyFont="1" applyFill="1" applyBorder="1" applyAlignment="1" applyProtection="1">
      <alignment vertical="center"/>
      <protection locked="0"/>
    </xf>
    <xf numFmtId="2" fontId="0" fillId="34" borderId="80" xfId="57" applyNumberFormat="1" applyFont="1" applyFill="1" applyBorder="1" applyAlignment="1" applyProtection="1">
      <alignment vertical="center"/>
      <protection locked="0"/>
    </xf>
    <xf numFmtId="2" fontId="48" fillId="34" borderId="31" xfId="57" applyNumberFormat="1" applyFont="1" applyFill="1" applyBorder="1" applyAlignment="1" applyProtection="1">
      <alignment horizontal="right" vertical="center"/>
      <protection locked="0"/>
    </xf>
    <xf numFmtId="2" fontId="0" fillId="13" borderId="25" xfId="0" applyNumberFormat="1" applyFont="1" applyFill="1" applyBorder="1" applyAlignment="1" applyProtection="1">
      <alignment vertical="center"/>
      <protection/>
    </xf>
    <xf numFmtId="2" fontId="0" fillId="34" borderId="27" xfId="57" applyNumberFormat="1" applyFont="1" applyFill="1" applyBorder="1" applyAlignment="1" applyProtection="1">
      <alignment vertical="center"/>
      <protection locked="0"/>
    </xf>
    <xf numFmtId="0" fontId="0" fillId="34" borderId="26" xfId="0" applyFont="1" applyFill="1" applyBorder="1" applyAlignment="1" applyProtection="1">
      <alignment vertical="center" wrapText="1"/>
      <protection/>
    </xf>
    <xf numFmtId="0" fontId="48" fillId="34" borderId="25" xfId="0" applyFont="1" applyFill="1" applyBorder="1" applyAlignment="1" applyProtection="1">
      <alignment horizontal="center" vertical="center" wrapText="1"/>
      <protection/>
    </xf>
    <xf numFmtId="1" fontId="0" fillId="34" borderId="27" xfId="0" applyNumberFormat="1" applyFont="1" applyFill="1" applyBorder="1" applyAlignment="1" applyProtection="1">
      <alignment vertical="center"/>
      <protection locked="0"/>
    </xf>
    <xf numFmtId="2" fontId="0" fillId="33" borderId="0" xfId="0" applyNumberFormat="1" applyFont="1" applyFill="1" applyBorder="1" applyAlignment="1" applyProtection="1">
      <alignment vertical="center" wrapText="1"/>
      <protection locked="0"/>
    </xf>
    <xf numFmtId="2" fontId="2" fillId="19" borderId="59" xfId="0" applyNumberFormat="1" applyFont="1" applyFill="1" applyBorder="1" applyAlignment="1" applyProtection="1">
      <alignment vertical="center" wrapText="1"/>
      <protection/>
    </xf>
    <xf numFmtId="0" fontId="47" fillId="33" borderId="0" xfId="0" applyFont="1" applyFill="1" applyAlignment="1" applyProtection="1">
      <alignment vertical="center"/>
      <protection locked="0"/>
    </xf>
    <xf numFmtId="0" fontId="0" fillId="34" borderId="54" xfId="0" applyFill="1" applyBorder="1" applyAlignment="1" applyProtection="1">
      <alignment vertical="center"/>
      <protection/>
    </xf>
    <xf numFmtId="0" fontId="0" fillId="34" borderId="51" xfId="0" applyFont="1" applyFill="1" applyBorder="1" applyAlignment="1" applyProtection="1">
      <alignment horizontal="center" vertical="center"/>
      <protection locked="0"/>
    </xf>
    <xf numFmtId="0" fontId="0" fillId="34" borderId="0" xfId="0" applyFill="1" applyBorder="1" applyAlignment="1" applyProtection="1">
      <alignment vertical="center"/>
      <protection locked="0"/>
    </xf>
    <xf numFmtId="0" fontId="0" fillId="33" borderId="62" xfId="0" applyFont="1" applyFill="1" applyBorder="1" applyAlignment="1" applyProtection="1">
      <alignment vertical="center"/>
      <protection locked="0"/>
    </xf>
    <xf numFmtId="0" fontId="0" fillId="33" borderId="11" xfId="0" applyFont="1" applyFill="1" applyBorder="1" applyAlignment="1" applyProtection="1">
      <alignment vertical="center"/>
      <protection locked="0"/>
    </xf>
    <xf numFmtId="0" fontId="0" fillId="34" borderId="54" xfId="0" applyFont="1" applyFill="1" applyBorder="1" applyAlignment="1" applyProtection="1">
      <alignment vertical="center"/>
      <protection locked="0"/>
    </xf>
    <xf numFmtId="0" fontId="2" fillId="34" borderId="58" xfId="0" applyFont="1" applyFill="1" applyBorder="1" applyAlignment="1" applyProtection="1">
      <alignment horizontal="center" vertical="center" wrapText="1"/>
      <protection/>
    </xf>
    <xf numFmtId="2" fontId="0" fillId="34" borderId="54" xfId="0" applyNumberFormat="1" applyFont="1" applyFill="1" applyBorder="1" applyAlignment="1" applyProtection="1">
      <alignment horizontal="right" vertical="center" wrapText="1"/>
      <protection/>
    </xf>
    <xf numFmtId="0" fontId="0" fillId="33" borderId="10" xfId="0" applyFont="1" applyFill="1" applyBorder="1" applyAlignment="1" applyProtection="1">
      <alignment vertical="center"/>
      <protection locked="0"/>
    </xf>
    <xf numFmtId="0" fontId="0" fillId="0" borderId="11" xfId="0" applyFont="1" applyBorder="1" applyAlignment="1" applyProtection="1">
      <alignment vertical="center"/>
      <protection locked="0"/>
    </xf>
    <xf numFmtId="0" fontId="48" fillId="34" borderId="59" xfId="57" applyFont="1" applyFill="1" applyBorder="1" applyAlignment="1" applyProtection="1">
      <alignment horizontal="right" vertical="center" wrapText="1"/>
      <protection locked="0"/>
    </xf>
    <xf numFmtId="2" fontId="2" fillId="19" borderId="59" xfId="0" applyNumberFormat="1" applyFont="1" applyFill="1" applyBorder="1" applyAlignment="1" applyProtection="1">
      <alignment vertical="center" wrapText="1"/>
      <protection locked="0"/>
    </xf>
    <xf numFmtId="0" fontId="2" fillId="33" borderId="15" xfId="0" applyFont="1" applyFill="1" applyBorder="1" applyAlignment="1" applyProtection="1">
      <alignment horizontal="center" vertical="center" wrapText="1"/>
      <protection locked="0"/>
    </xf>
    <xf numFmtId="2" fontId="0" fillId="19" borderId="28" xfId="0" applyNumberFormat="1" applyFont="1" applyFill="1" applyBorder="1" applyAlignment="1" applyProtection="1">
      <alignment horizontal="right" vertical="center" wrapText="1"/>
      <protection/>
    </xf>
    <xf numFmtId="0" fontId="0" fillId="34" borderId="27" xfId="0" applyFont="1" applyFill="1" applyBorder="1" applyAlignment="1" applyProtection="1">
      <alignment vertical="center"/>
      <protection locked="0"/>
    </xf>
    <xf numFmtId="0" fontId="0" fillId="34" borderId="26" xfId="0" applyFont="1" applyFill="1" applyBorder="1" applyAlignment="1" applyProtection="1">
      <alignment vertical="center" wrapText="1"/>
      <protection locked="0"/>
    </xf>
    <xf numFmtId="0" fontId="47" fillId="34" borderId="26" xfId="0" applyFont="1" applyFill="1" applyBorder="1" applyAlignment="1" applyProtection="1">
      <alignment vertical="center"/>
      <protection locked="0"/>
    </xf>
    <xf numFmtId="0" fontId="0" fillId="33" borderId="32" xfId="0" applyFont="1" applyFill="1" applyBorder="1" applyAlignment="1" applyProtection="1">
      <alignment vertical="center" wrapText="1"/>
      <protection locked="0"/>
    </xf>
    <xf numFmtId="0" fontId="0" fillId="33" borderId="80" xfId="0" applyFont="1" applyFill="1" applyBorder="1" applyAlignment="1" applyProtection="1">
      <alignment vertical="center" wrapText="1"/>
      <protection locked="0"/>
    </xf>
    <xf numFmtId="0" fontId="2" fillId="33" borderId="31" xfId="0" applyFont="1" applyFill="1" applyBorder="1" applyAlignment="1" applyProtection="1">
      <alignment horizontal="right" vertical="center"/>
      <protection/>
    </xf>
    <xf numFmtId="2" fontId="2" fillId="19" borderId="25" xfId="0" applyNumberFormat="1" applyFont="1" applyFill="1" applyBorder="1" applyAlignment="1" applyProtection="1">
      <alignment vertical="center" wrapText="1"/>
      <protection/>
    </xf>
    <xf numFmtId="0" fontId="0" fillId="34" borderId="27" xfId="0" applyFont="1" applyFill="1" applyBorder="1" applyAlignment="1" applyProtection="1">
      <alignment vertical="center" wrapText="1"/>
      <protection locked="0"/>
    </xf>
    <xf numFmtId="0" fontId="0" fillId="34" borderId="26" xfId="0" applyFont="1" applyFill="1" applyBorder="1" applyAlignment="1" applyProtection="1">
      <alignment vertical="center"/>
      <protection/>
    </xf>
    <xf numFmtId="0" fontId="5" fillId="34" borderId="24" xfId="0" applyNumberFormat="1" applyFont="1" applyFill="1" applyBorder="1" applyAlignment="1" applyProtection="1">
      <alignment horizontal="center" vertical="center" wrapText="1"/>
      <protection/>
    </xf>
    <xf numFmtId="0" fontId="5" fillId="33" borderId="0" xfId="0" applyNumberFormat="1" applyFont="1" applyFill="1" applyBorder="1" applyAlignment="1" applyProtection="1">
      <alignment horizontal="center" vertical="center" wrapText="1"/>
      <protection/>
    </xf>
    <xf numFmtId="0" fontId="0" fillId="33" borderId="72" xfId="0" applyFont="1" applyFill="1" applyBorder="1" applyAlignment="1" applyProtection="1">
      <alignment vertical="center" wrapText="1"/>
      <protection locked="0"/>
    </xf>
    <xf numFmtId="0" fontId="2" fillId="33" borderId="41" xfId="0" applyFont="1" applyFill="1" applyBorder="1" applyAlignment="1" applyProtection="1">
      <alignment horizontal="right" vertical="center"/>
      <protection/>
    </xf>
    <xf numFmtId="2" fontId="2" fillId="19" borderId="59" xfId="0" applyNumberFormat="1" applyFont="1" applyFill="1" applyBorder="1" applyAlignment="1" applyProtection="1">
      <alignment vertical="center"/>
      <protection/>
    </xf>
    <xf numFmtId="0" fontId="0" fillId="33" borderId="27" xfId="0" applyFont="1" applyFill="1" applyBorder="1" applyAlignment="1" applyProtection="1">
      <alignment vertical="center" wrapText="1"/>
      <protection locked="0"/>
    </xf>
    <xf numFmtId="0" fontId="0" fillId="33" borderId="26" xfId="0" applyFont="1" applyFill="1" applyBorder="1" applyAlignment="1" applyProtection="1">
      <alignment vertical="center" wrapText="1"/>
      <protection locked="0"/>
    </xf>
    <xf numFmtId="0" fontId="0" fillId="33" borderId="28" xfId="0" applyFont="1" applyFill="1" applyBorder="1" applyAlignment="1" applyProtection="1">
      <alignment horizontal="right" vertical="center"/>
      <protection locked="0"/>
    </xf>
    <xf numFmtId="2" fontId="0" fillId="19" borderId="25" xfId="0" applyNumberFormat="1" applyFont="1" applyFill="1" applyBorder="1" applyAlignment="1" applyProtection="1">
      <alignment vertical="center"/>
      <protection locked="0"/>
    </xf>
    <xf numFmtId="2" fontId="0" fillId="33" borderId="0" xfId="0" applyNumberFormat="1" applyFont="1" applyFill="1" applyBorder="1" applyAlignment="1" applyProtection="1">
      <alignment vertical="center"/>
      <protection/>
    </xf>
    <xf numFmtId="0" fontId="0" fillId="12" borderId="38" xfId="0" applyFont="1" applyFill="1" applyBorder="1" applyAlignment="1" applyProtection="1">
      <alignment horizontal="left" vertical="center"/>
      <protection locked="0"/>
    </xf>
    <xf numFmtId="0" fontId="0" fillId="37" borderId="45" xfId="57" applyFont="1" applyFill="1" applyBorder="1" applyAlignment="1" applyProtection="1">
      <alignment vertical="center" wrapText="1"/>
      <protection locked="0"/>
    </xf>
    <xf numFmtId="0" fontId="0" fillId="12" borderId="39" xfId="0" applyFont="1" applyFill="1" applyBorder="1" applyAlignment="1" applyProtection="1">
      <alignment horizontal="left" vertical="center"/>
      <protection locked="0"/>
    </xf>
    <xf numFmtId="0" fontId="0" fillId="37" borderId="46" xfId="57" applyFont="1" applyFill="1" applyBorder="1" applyAlignment="1" applyProtection="1">
      <alignment vertical="center" wrapText="1"/>
      <protection locked="0"/>
    </xf>
    <xf numFmtId="0" fontId="0" fillId="12" borderId="40" xfId="0" applyFont="1" applyFill="1" applyBorder="1" applyAlignment="1" applyProtection="1">
      <alignment horizontal="left" vertical="center"/>
      <protection locked="0"/>
    </xf>
    <xf numFmtId="0" fontId="0" fillId="37" borderId="47" xfId="57" applyFont="1" applyFill="1" applyBorder="1" applyAlignment="1" applyProtection="1">
      <alignment vertical="center" wrapText="1"/>
      <protection locked="0"/>
    </xf>
    <xf numFmtId="2" fontId="0" fillId="19" borderId="59" xfId="57" applyNumberFormat="1" applyFont="1" applyFill="1" applyBorder="1" applyAlignment="1" applyProtection="1">
      <alignment vertical="center"/>
      <protection/>
    </xf>
    <xf numFmtId="2" fontId="0" fillId="19" borderId="67" xfId="57" applyNumberFormat="1" applyFont="1" applyFill="1" applyBorder="1" applyAlignment="1" applyProtection="1">
      <alignment vertical="center"/>
      <protection/>
    </xf>
    <xf numFmtId="2" fontId="0" fillId="19" borderId="68" xfId="57" applyNumberFormat="1" applyFont="1" applyFill="1" applyBorder="1" applyAlignment="1" applyProtection="1">
      <alignment vertical="center"/>
      <protection/>
    </xf>
    <xf numFmtId="2" fontId="0" fillId="19" borderId="15" xfId="57" applyNumberFormat="1" applyFont="1" applyFill="1" applyBorder="1" applyAlignment="1" applyProtection="1">
      <alignment vertical="center"/>
      <protection/>
    </xf>
    <xf numFmtId="2" fontId="0" fillId="19" borderId="28" xfId="57" applyNumberFormat="1" applyFont="1" applyFill="1" applyBorder="1" applyAlignment="1" applyProtection="1">
      <alignment vertical="center"/>
      <protection/>
    </xf>
    <xf numFmtId="2" fontId="0" fillId="19" borderId="27" xfId="57" applyNumberFormat="1" applyFont="1" applyFill="1" applyBorder="1" applyAlignment="1" applyProtection="1">
      <alignment vertical="center"/>
      <protection/>
    </xf>
    <xf numFmtId="0" fontId="48" fillId="34" borderId="27" xfId="0" applyFont="1" applyFill="1" applyBorder="1" applyAlignment="1" applyProtection="1">
      <alignment horizontal="center" vertical="center" wrapText="1"/>
      <protection/>
    </xf>
    <xf numFmtId="2" fontId="0" fillId="41" borderId="48" xfId="0" applyNumberFormat="1" applyFont="1" applyFill="1" applyBorder="1" applyAlignment="1" applyProtection="1">
      <alignment vertical="center" wrapText="1"/>
      <protection/>
    </xf>
    <xf numFmtId="0" fontId="5" fillId="34" borderId="10" xfId="0" applyFont="1" applyFill="1" applyBorder="1" applyAlignment="1" applyProtection="1">
      <alignment horizontal="right" vertical="center" wrapText="1"/>
      <protection locked="0"/>
    </xf>
    <xf numFmtId="0" fontId="5" fillId="34" borderId="27" xfId="0" applyFont="1" applyFill="1" applyBorder="1" applyAlignment="1" applyProtection="1">
      <alignment horizontal="right" vertical="center" wrapText="1"/>
      <protection locked="0"/>
    </xf>
    <xf numFmtId="2" fontId="0" fillId="19" borderId="25" xfId="0" applyNumberFormat="1" applyFont="1" applyFill="1" applyBorder="1" applyAlignment="1" applyProtection="1">
      <alignment vertical="center" wrapText="1"/>
      <protection/>
    </xf>
    <xf numFmtId="2" fontId="0" fillId="19" borderId="25" xfId="0" applyNumberFormat="1" applyFont="1" applyFill="1" applyBorder="1" applyAlignment="1" applyProtection="1">
      <alignment vertical="center"/>
      <protection/>
    </xf>
    <xf numFmtId="0" fontId="48" fillId="34" borderId="32" xfId="0" applyFont="1" applyFill="1" applyBorder="1" applyAlignment="1" applyProtection="1">
      <alignment horizontal="center" vertical="center" wrapText="1"/>
      <protection/>
    </xf>
    <xf numFmtId="2" fontId="2" fillId="41" borderId="59" xfId="0" applyNumberFormat="1" applyFont="1" applyFill="1" applyBorder="1" applyAlignment="1" applyProtection="1">
      <alignment vertical="center" wrapText="1"/>
      <protection/>
    </xf>
    <xf numFmtId="0" fontId="0" fillId="34" borderId="52" xfId="0" applyFont="1" applyFill="1" applyBorder="1" applyAlignment="1" applyProtection="1">
      <alignment vertical="center" wrapText="1"/>
      <protection locked="0"/>
    </xf>
    <xf numFmtId="0" fontId="0" fillId="34" borderId="49" xfId="0" applyFont="1" applyFill="1" applyBorder="1" applyAlignment="1" applyProtection="1">
      <alignment vertical="center" wrapText="1"/>
      <protection locked="0"/>
    </xf>
    <xf numFmtId="0" fontId="2" fillId="33" borderId="17" xfId="0" applyFont="1" applyFill="1" applyBorder="1" applyAlignment="1" applyProtection="1">
      <alignment horizontal="center" vertical="center" wrapText="1"/>
      <protection/>
    </xf>
    <xf numFmtId="2" fontId="0" fillId="41" borderId="26" xfId="0" applyNumberFormat="1" applyFont="1" applyFill="1" applyBorder="1" applyAlignment="1" applyProtection="1">
      <alignment horizontal="right" vertical="center" wrapText="1"/>
      <protection/>
    </xf>
    <xf numFmtId="0" fontId="0" fillId="34" borderId="28" xfId="0" applyFont="1" applyFill="1" applyBorder="1" applyAlignment="1" applyProtection="1">
      <alignment vertical="center" wrapText="1"/>
      <protection locked="0"/>
    </xf>
    <xf numFmtId="0" fontId="0" fillId="33" borderId="32" xfId="0" applyFont="1" applyFill="1" applyBorder="1" applyAlignment="1" applyProtection="1">
      <alignment vertical="center" wrapText="1"/>
      <protection/>
    </xf>
    <xf numFmtId="0" fontId="0" fillId="33" borderId="80" xfId="0" applyFont="1" applyFill="1" applyBorder="1" applyAlignment="1" applyProtection="1">
      <alignment vertical="center" wrapText="1"/>
      <protection/>
    </xf>
    <xf numFmtId="2" fontId="2" fillId="41" borderId="80" xfId="0" applyNumberFormat="1" applyFont="1" applyFill="1" applyBorder="1" applyAlignment="1" applyProtection="1">
      <alignment vertical="center" wrapText="1"/>
      <protection/>
    </xf>
    <xf numFmtId="0" fontId="0" fillId="33" borderId="10" xfId="0" applyFont="1" applyFill="1" applyBorder="1" applyAlignment="1" applyProtection="1">
      <alignment vertical="center" wrapText="1"/>
      <protection/>
    </xf>
    <xf numFmtId="0" fontId="0" fillId="33" borderId="72" xfId="0" applyFont="1" applyFill="1" applyBorder="1" applyAlignment="1" applyProtection="1">
      <alignment vertical="center" wrapText="1"/>
      <protection/>
    </xf>
    <xf numFmtId="2" fontId="2" fillId="41" borderId="59" xfId="0" applyNumberFormat="1" applyFont="1" applyFill="1" applyBorder="1" applyAlignment="1" applyProtection="1">
      <alignment vertical="center"/>
      <protection/>
    </xf>
    <xf numFmtId="0" fontId="0" fillId="33" borderId="27" xfId="0" applyFont="1" applyFill="1" applyBorder="1" applyAlignment="1" applyProtection="1">
      <alignment vertical="center" wrapText="1"/>
      <protection/>
    </xf>
    <xf numFmtId="0" fontId="0" fillId="33" borderId="26" xfId="0" applyFont="1" applyFill="1" applyBorder="1" applyAlignment="1" applyProtection="1">
      <alignment vertical="center" wrapText="1"/>
      <protection/>
    </xf>
    <xf numFmtId="0" fontId="0" fillId="33" borderId="0" xfId="0" applyFont="1" applyFill="1" applyAlignment="1" applyProtection="1">
      <alignment horizontal="left"/>
      <protection locked="0"/>
    </xf>
    <xf numFmtId="2" fontId="0" fillId="41" borderId="25" xfId="0" applyNumberFormat="1" applyFont="1" applyFill="1" applyBorder="1" applyAlignment="1" applyProtection="1">
      <alignment vertical="center"/>
      <protection locked="0"/>
    </xf>
    <xf numFmtId="0" fontId="0" fillId="0" borderId="39" xfId="0" applyFont="1" applyFill="1" applyBorder="1" applyAlignment="1" applyProtection="1">
      <alignment/>
      <protection locked="0"/>
    </xf>
    <xf numFmtId="0" fontId="0" fillId="0" borderId="12" xfId="0" applyFont="1" applyFill="1" applyBorder="1" applyAlignment="1" applyProtection="1">
      <alignment/>
      <protection locked="0"/>
    </xf>
    <xf numFmtId="0" fontId="0" fillId="7" borderId="81" xfId="0" applyFont="1" applyFill="1" applyBorder="1" applyAlignment="1">
      <alignment horizontal="center" vertical="center"/>
    </xf>
    <xf numFmtId="2" fontId="0" fillId="7" borderId="42" xfId="0" applyNumberFormat="1" applyFill="1" applyBorder="1" applyAlignment="1">
      <alignment horizontal="center" vertical="center" wrapText="1"/>
    </xf>
    <xf numFmtId="2" fontId="0" fillId="7" borderId="44" xfId="0" applyNumberFormat="1" applyFill="1" applyBorder="1" applyAlignment="1">
      <alignment horizontal="center" vertical="center" wrapText="1"/>
    </xf>
    <xf numFmtId="2" fontId="0" fillId="13" borderId="81" xfId="0" applyNumberFormat="1" applyFill="1" applyBorder="1" applyAlignment="1">
      <alignment horizontal="center" vertical="center" wrapText="1"/>
    </xf>
    <xf numFmtId="0" fontId="0" fillId="4" borderId="40" xfId="0" applyFill="1" applyBorder="1" applyAlignment="1">
      <alignment horizontal="left" vertical="center"/>
    </xf>
    <xf numFmtId="43" fontId="0" fillId="4" borderId="42" xfId="0" applyNumberFormat="1" applyFill="1" applyBorder="1" applyAlignment="1">
      <alignment horizontal="center" vertical="center"/>
    </xf>
    <xf numFmtId="43" fontId="0" fillId="4" borderId="43" xfId="0" applyNumberFormat="1" applyFill="1" applyBorder="1" applyAlignment="1">
      <alignment horizontal="center" vertical="center"/>
    </xf>
    <xf numFmtId="43" fontId="0" fillId="4" borderId="44" xfId="0" applyNumberFormat="1" applyFill="1" applyBorder="1" applyAlignment="1">
      <alignment horizontal="center" vertical="center"/>
    </xf>
    <xf numFmtId="0" fontId="0" fillId="0" borderId="17" xfId="0" applyFill="1" applyBorder="1" applyAlignment="1">
      <alignment horizontal="left" vertical="center"/>
    </xf>
    <xf numFmtId="0" fontId="0" fillId="0" borderId="18" xfId="0" applyFill="1" applyBorder="1" applyAlignment="1">
      <alignment horizontal="left" vertical="center"/>
    </xf>
    <xf numFmtId="0" fontId="0" fillId="0" borderId="21" xfId="0" applyFill="1" applyBorder="1" applyAlignment="1">
      <alignment horizontal="left" vertical="center"/>
    </xf>
    <xf numFmtId="0" fontId="0" fillId="0" borderId="65" xfId="0" applyFill="1" applyBorder="1" applyAlignment="1">
      <alignment horizontal="left" vertical="center"/>
    </xf>
    <xf numFmtId="2" fontId="0" fillId="33" borderId="14" xfId="0" applyNumberFormat="1" applyFont="1" applyFill="1" applyBorder="1" applyAlignment="1">
      <alignment horizontal="center"/>
    </xf>
    <xf numFmtId="2" fontId="0" fillId="33" borderId="13" xfId="0" applyNumberFormat="1" applyFont="1" applyFill="1" applyBorder="1" applyAlignment="1">
      <alignment horizontal="center"/>
    </xf>
    <xf numFmtId="2" fontId="0" fillId="33" borderId="20" xfId="0" applyNumberFormat="1" applyFont="1" applyFill="1" applyBorder="1" applyAlignment="1">
      <alignment horizontal="center"/>
    </xf>
    <xf numFmtId="2" fontId="0" fillId="33" borderId="64" xfId="0" applyNumberFormat="1" applyFont="1" applyFill="1" applyBorder="1" applyAlignment="1">
      <alignment horizontal="center"/>
    </xf>
    <xf numFmtId="0" fontId="0" fillId="8" borderId="34" xfId="0" applyFont="1" applyFill="1" applyBorder="1" applyAlignment="1" applyProtection="1">
      <alignment horizontal="center" vertical="center"/>
      <protection locked="0"/>
    </xf>
    <xf numFmtId="0" fontId="0" fillId="8" borderId="30" xfId="0" applyFont="1" applyFill="1" applyBorder="1" applyAlignment="1" applyProtection="1">
      <alignment horizontal="center" vertical="center"/>
      <protection locked="0"/>
    </xf>
    <xf numFmtId="0" fontId="0" fillId="8" borderId="36" xfId="0" applyFont="1" applyFill="1" applyBorder="1" applyAlignment="1" applyProtection="1">
      <alignment horizontal="center" vertical="center"/>
      <protection locked="0"/>
    </xf>
    <xf numFmtId="2" fontId="0" fillId="22" borderId="35" xfId="57" applyNumberFormat="1" applyFont="1" applyFill="1" applyBorder="1" applyAlignment="1" applyProtection="1">
      <alignment horizontal="center" vertical="center"/>
      <protection locked="0"/>
    </xf>
    <xf numFmtId="2" fontId="0" fillId="22" borderId="12" xfId="57" applyNumberFormat="1" applyFont="1" applyFill="1" applyBorder="1" applyAlignment="1" applyProtection="1">
      <alignment horizontal="center" vertical="center"/>
      <protection locked="0"/>
    </xf>
    <xf numFmtId="2" fontId="0" fillId="22" borderId="37" xfId="57" applyNumberFormat="1" applyFont="1" applyFill="1" applyBorder="1" applyAlignment="1" applyProtection="1">
      <alignment horizontal="center" vertical="center"/>
      <protection locked="0"/>
    </xf>
    <xf numFmtId="2" fontId="0" fillId="22" borderId="35" xfId="42" applyNumberFormat="1" applyFont="1" applyFill="1" applyBorder="1" applyAlignment="1" applyProtection="1">
      <alignment horizontal="center" vertical="center" wrapText="1"/>
      <protection locked="0"/>
    </xf>
    <xf numFmtId="2" fontId="0" fillId="22" borderId="12" xfId="42" applyNumberFormat="1" applyFont="1" applyFill="1" applyBorder="1" applyAlignment="1" applyProtection="1">
      <alignment horizontal="center" vertical="center" wrapText="1"/>
      <protection locked="0"/>
    </xf>
    <xf numFmtId="2" fontId="0" fillId="22" borderId="37" xfId="42" applyNumberFormat="1" applyFont="1" applyFill="1" applyBorder="1" applyAlignment="1" applyProtection="1">
      <alignment horizontal="center" vertical="center" wrapText="1"/>
      <protection locked="0"/>
    </xf>
    <xf numFmtId="2" fontId="0" fillId="22" borderId="35" xfId="0" applyNumberFormat="1" applyFont="1" applyFill="1" applyBorder="1" applyAlignment="1" applyProtection="1">
      <alignment horizontal="center" vertical="center" wrapText="1"/>
      <protection locked="0"/>
    </xf>
    <xf numFmtId="2" fontId="0" fillId="22" borderId="12" xfId="0" applyNumberFormat="1" applyFont="1" applyFill="1" applyBorder="1" applyAlignment="1" applyProtection="1">
      <alignment horizontal="center" vertical="center" wrapText="1"/>
      <protection locked="0"/>
    </xf>
    <xf numFmtId="2" fontId="0" fillId="22" borderId="37" xfId="0" applyNumberFormat="1" applyFont="1" applyFill="1" applyBorder="1" applyAlignment="1" applyProtection="1">
      <alignment horizontal="center" vertical="center" wrapText="1"/>
      <protection locked="0"/>
    </xf>
    <xf numFmtId="0" fontId="0" fillId="0" borderId="23" xfId="0" applyFont="1" applyBorder="1" applyAlignment="1">
      <alignment horizontal="center"/>
    </xf>
    <xf numFmtId="0" fontId="0" fillId="0" borderId="81" xfId="0" applyFont="1" applyBorder="1" applyAlignment="1">
      <alignment horizontal="center"/>
    </xf>
    <xf numFmtId="43" fontId="0" fillId="6" borderId="42" xfId="0" applyNumberFormat="1" applyFill="1" applyBorder="1" applyAlignment="1">
      <alignment horizontal="center" vertical="center"/>
    </xf>
    <xf numFmtId="43" fontId="0" fillId="6" borderId="43" xfId="0" applyNumberFormat="1" applyFill="1" applyBorder="1" applyAlignment="1">
      <alignment horizontal="center" vertical="center"/>
    </xf>
    <xf numFmtId="43" fontId="0" fillId="6" borderId="44" xfId="0" applyNumberFormat="1" applyFill="1" applyBorder="1" applyAlignment="1">
      <alignment horizontal="center" vertical="center"/>
    </xf>
    <xf numFmtId="0" fontId="0" fillId="6" borderId="40" xfId="0" applyFill="1" applyBorder="1" applyAlignment="1">
      <alignment horizontal="left" vertical="center"/>
    </xf>
    <xf numFmtId="0" fontId="0" fillId="6" borderId="47" xfId="0" applyFill="1" applyBorder="1" applyAlignment="1">
      <alignment horizontal="left" vertical="center"/>
    </xf>
    <xf numFmtId="0" fontId="0" fillId="6" borderId="37" xfId="0" applyFill="1" applyBorder="1" applyAlignment="1">
      <alignment horizontal="left" vertical="center"/>
    </xf>
    <xf numFmtId="2" fontId="0" fillId="6" borderId="50" xfId="0" applyNumberFormat="1" applyFill="1" applyBorder="1" applyAlignment="1">
      <alignment horizontal="left" vertical="center"/>
    </xf>
    <xf numFmtId="2" fontId="0" fillId="6" borderId="76" xfId="0" applyNumberFormat="1" applyFill="1" applyBorder="1" applyAlignment="1">
      <alignment horizontal="left" vertical="center"/>
    </xf>
    <xf numFmtId="2" fontId="0" fillId="6" borderId="33" xfId="0" applyNumberFormat="1" applyFill="1" applyBorder="1" applyAlignment="1">
      <alignment horizontal="left" vertical="center"/>
    </xf>
    <xf numFmtId="2" fontId="0" fillId="6" borderId="38" xfId="0" applyNumberFormat="1" applyFill="1" applyBorder="1" applyAlignment="1">
      <alignment horizontal="left" vertical="center"/>
    </xf>
    <xf numFmtId="2" fontId="0" fillId="6" borderId="39" xfId="0" applyNumberFormat="1" applyFill="1" applyBorder="1" applyAlignment="1">
      <alignment horizontal="left" vertical="center"/>
    </xf>
    <xf numFmtId="2" fontId="0" fillId="6" borderId="75" xfId="0" applyNumberFormat="1" applyFill="1" applyBorder="1" applyAlignment="1">
      <alignment horizontal="left" vertical="center"/>
    </xf>
    <xf numFmtId="2" fontId="0" fillId="6" borderId="73" xfId="0" applyNumberFormat="1" applyFill="1" applyBorder="1" applyAlignment="1">
      <alignment horizontal="left" vertical="center"/>
    </xf>
    <xf numFmtId="2" fontId="0" fillId="6" borderId="77" xfId="0" applyNumberFormat="1" applyFill="1" applyBorder="1" applyAlignment="1">
      <alignment horizontal="left" vertical="center"/>
    </xf>
    <xf numFmtId="0" fontId="2"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wrapText="1"/>
      <protection locked="0"/>
    </xf>
    <xf numFmtId="0" fontId="0" fillId="33" borderId="0" xfId="0" applyFont="1" applyFill="1" applyBorder="1" applyAlignment="1">
      <alignment horizontal="left" vertical="top" wrapText="1"/>
    </xf>
    <xf numFmtId="0" fontId="2" fillId="0" borderId="14" xfId="0" applyFont="1" applyFill="1" applyBorder="1" applyAlignment="1" applyProtection="1">
      <alignment vertical="center"/>
      <protection locked="0"/>
    </xf>
    <xf numFmtId="0" fontId="2" fillId="0" borderId="64" xfId="0" applyFont="1" applyFill="1" applyBorder="1" applyAlignment="1" applyProtection="1">
      <alignment vertical="center" wrapText="1"/>
      <protection locked="0"/>
    </xf>
    <xf numFmtId="0" fontId="48" fillId="34" borderId="17" xfId="0" applyFont="1" applyFill="1" applyBorder="1" applyAlignment="1" applyProtection="1">
      <alignment vertical="center"/>
      <protection locked="0"/>
    </xf>
    <xf numFmtId="0" fontId="0" fillId="34" borderId="65" xfId="0" applyFont="1" applyFill="1" applyBorder="1" applyAlignment="1" applyProtection="1">
      <alignment vertical="center" wrapText="1"/>
      <protection locked="0"/>
    </xf>
    <xf numFmtId="0" fontId="0" fillId="34" borderId="58" xfId="0" applyFont="1" applyFill="1" applyBorder="1" applyAlignment="1" applyProtection="1">
      <alignment vertical="center" wrapText="1"/>
      <protection locked="0"/>
    </xf>
    <xf numFmtId="0" fontId="0" fillId="34" borderId="18" xfId="0" applyFont="1" applyFill="1" applyBorder="1" applyAlignment="1" applyProtection="1">
      <alignment vertical="center" wrapText="1"/>
      <protection locked="0"/>
    </xf>
    <xf numFmtId="0" fontId="0" fillId="34" borderId="18" xfId="0" applyFont="1" applyFill="1" applyBorder="1" applyAlignment="1" applyProtection="1">
      <alignment horizontal="right" vertical="center" wrapText="1"/>
      <protection locked="0"/>
    </xf>
    <xf numFmtId="0" fontId="0" fillId="34" borderId="18"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right"/>
      <protection locked="0"/>
    </xf>
    <xf numFmtId="0" fontId="0" fillId="34" borderId="65" xfId="0" applyFont="1" applyFill="1" applyBorder="1" applyAlignment="1" applyProtection="1">
      <alignment horizontal="left"/>
      <protection locked="0"/>
    </xf>
    <xf numFmtId="0" fontId="48" fillId="34" borderId="69" xfId="0" applyFont="1" applyFill="1" applyBorder="1" applyAlignment="1" applyProtection="1">
      <alignment vertical="center"/>
      <protection locked="0"/>
    </xf>
    <xf numFmtId="0" fontId="0" fillId="0" borderId="35" xfId="0" applyFont="1" applyFill="1" applyBorder="1" applyAlignment="1" applyProtection="1">
      <alignment vertical="center" wrapText="1"/>
      <protection locked="0"/>
    </xf>
    <xf numFmtId="0" fontId="0" fillId="0" borderId="40" xfId="0" applyFont="1" applyFill="1" applyBorder="1" applyAlignment="1" applyProtection="1">
      <alignment/>
      <protection locked="0"/>
    </xf>
    <xf numFmtId="0" fontId="0" fillId="0" borderId="37" xfId="0" applyFont="1" applyFill="1" applyBorder="1" applyAlignment="1" applyProtection="1">
      <alignment/>
      <protection locked="0"/>
    </xf>
    <xf numFmtId="0" fontId="0" fillId="0" borderId="38" xfId="0" applyFont="1" applyFill="1" applyBorder="1" applyAlignment="1" applyProtection="1">
      <alignment horizontal="right"/>
      <protection locked="0"/>
    </xf>
    <xf numFmtId="0" fontId="0" fillId="0" borderId="39" xfId="0" applyFont="1" applyFill="1" applyBorder="1" applyAlignment="1" applyProtection="1">
      <alignment horizontal="right"/>
      <protection locked="0"/>
    </xf>
    <xf numFmtId="0" fontId="0" fillId="33" borderId="70" xfId="0" applyFont="1" applyFill="1" applyBorder="1" applyAlignment="1" applyProtection="1">
      <alignment/>
      <protection locked="0"/>
    </xf>
    <xf numFmtId="0" fontId="0" fillId="0" borderId="40" xfId="0" applyFont="1" applyFill="1" applyBorder="1" applyAlignment="1" applyProtection="1">
      <alignment horizontal="right"/>
      <protection locked="0"/>
    </xf>
    <xf numFmtId="0" fontId="0" fillId="0" borderId="10" xfId="0" applyFont="1" applyFill="1" applyBorder="1" applyAlignment="1" applyProtection="1">
      <alignment vertical="center"/>
      <protection locked="0"/>
    </xf>
    <xf numFmtId="0" fontId="0" fillId="0" borderId="62" xfId="0" applyFont="1" applyFill="1" applyBorder="1" applyAlignment="1" applyProtection="1">
      <alignment vertical="center"/>
      <protection locked="0"/>
    </xf>
    <xf numFmtId="0" fontId="2" fillId="0" borderId="51" xfId="0" applyFont="1" applyFill="1" applyBorder="1" applyAlignment="1" applyProtection="1">
      <alignment vertical="center"/>
      <protection locked="0"/>
    </xf>
    <xf numFmtId="0" fontId="2" fillId="0" borderId="25" xfId="0" applyFont="1" applyFill="1" applyBorder="1" applyAlignment="1" applyProtection="1">
      <alignment/>
      <protection locked="0"/>
    </xf>
    <xf numFmtId="0" fontId="0" fillId="0" borderId="70" xfId="0" applyFont="1" applyFill="1" applyBorder="1" applyAlignment="1" applyProtection="1">
      <alignment/>
      <protection locked="0"/>
    </xf>
    <xf numFmtId="0" fontId="0" fillId="33" borderId="54" xfId="0" applyFont="1" applyFill="1" applyBorder="1" applyAlignment="1" applyProtection="1">
      <alignment vertical="center" wrapText="1"/>
      <protection locked="0"/>
    </xf>
    <xf numFmtId="0" fontId="0" fillId="33" borderId="69" xfId="0" applyFont="1" applyFill="1" applyBorder="1" applyAlignment="1" applyProtection="1">
      <alignment vertical="center" wrapText="1"/>
      <protection locked="0"/>
    </xf>
    <xf numFmtId="0" fontId="0" fillId="33" borderId="59" xfId="0" applyFont="1" applyFill="1" applyBorder="1" applyAlignment="1" applyProtection="1">
      <alignment vertical="center" wrapText="1"/>
      <protection locked="0"/>
    </xf>
    <xf numFmtId="0" fontId="0" fillId="33" borderId="48" xfId="0" applyFill="1" applyBorder="1" applyAlignment="1">
      <alignment/>
    </xf>
    <xf numFmtId="0" fontId="0" fillId="33" borderId="52" xfId="0" applyFill="1" applyBorder="1" applyAlignment="1">
      <alignment/>
    </xf>
    <xf numFmtId="0" fontId="0" fillId="33" borderId="49" xfId="0" applyFill="1" applyBorder="1" applyAlignment="1">
      <alignment/>
    </xf>
    <xf numFmtId="0" fontId="0" fillId="33" borderId="51" xfId="0" applyFill="1" applyBorder="1" applyAlignment="1">
      <alignment/>
    </xf>
    <xf numFmtId="0" fontId="0" fillId="33" borderId="53" xfId="0" applyFill="1" applyBorder="1" applyAlignment="1">
      <alignment/>
    </xf>
    <xf numFmtId="0" fontId="0" fillId="33" borderId="53" xfId="0" applyFont="1" applyFill="1" applyBorder="1" applyAlignment="1">
      <alignment/>
    </xf>
    <xf numFmtId="0" fontId="0" fillId="33" borderId="27" xfId="0" applyFill="1" applyBorder="1" applyAlignment="1">
      <alignment/>
    </xf>
    <xf numFmtId="0" fontId="0" fillId="33" borderId="26" xfId="0" applyFill="1" applyBorder="1" applyAlignment="1">
      <alignment/>
    </xf>
    <xf numFmtId="0" fontId="0" fillId="33" borderId="28" xfId="0" applyFill="1" applyBorder="1" applyAlignment="1">
      <alignment/>
    </xf>
    <xf numFmtId="0" fontId="0" fillId="12" borderId="30" xfId="0" applyFont="1" applyFill="1" applyBorder="1" applyAlignment="1" applyProtection="1">
      <alignment horizontal="center" vertical="center"/>
      <protection locked="0"/>
    </xf>
    <xf numFmtId="2" fontId="0" fillId="36" borderId="12" xfId="57" applyNumberFormat="1" applyFont="1" applyFill="1" applyBorder="1" applyAlignment="1" applyProtection="1">
      <alignment horizontal="center" vertical="center"/>
      <protection locked="0"/>
    </xf>
    <xf numFmtId="2" fontId="0" fillId="36" borderId="37" xfId="57" applyNumberFormat="1" applyFont="1" applyFill="1" applyBorder="1" applyAlignment="1" applyProtection="1">
      <alignment horizontal="center" vertical="center"/>
      <protection locked="0"/>
    </xf>
    <xf numFmtId="0" fontId="0" fillId="12" borderId="34" xfId="0" applyFont="1" applyFill="1" applyBorder="1" applyAlignment="1" applyProtection="1">
      <alignment horizontal="center" vertical="center"/>
      <protection locked="0"/>
    </xf>
    <xf numFmtId="0" fontId="0" fillId="12" borderId="36" xfId="0" applyFont="1" applyFill="1" applyBorder="1" applyAlignment="1" applyProtection="1">
      <alignment horizontal="center" vertical="center"/>
      <protection locked="0"/>
    </xf>
    <xf numFmtId="0" fontId="48" fillId="34" borderId="59" xfId="57" applyFont="1" applyFill="1" applyBorder="1" applyAlignment="1" applyProtection="1">
      <alignment horizontal="right" wrapText="1"/>
      <protection locked="0"/>
    </xf>
    <xf numFmtId="43" fontId="0" fillId="37" borderId="46" xfId="42" applyFont="1" applyFill="1" applyBorder="1" applyAlignment="1" applyProtection="1">
      <alignment horizontal="left" vertical="center" wrapText="1"/>
      <protection locked="0"/>
    </xf>
    <xf numFmtId="43" fontId="0" fillId="37" borderId="47" xfId="42" applyFont="1" applyFill="1" applyBorder="1" applyAlignment="1" applyProtection="1">
      <alignment horizontal="left" vertical="center" wrapText="1"/>
      <protection locked="0"/>
    </xf>
    <xf numFmtId="0" fontId="0" fillId="34" borderId="52" xfId="0" applyFill="1" applyBorder="1" applyAlignment="1" applyProtection="1">
      <alignment vertical="center"/>
      <protection locked="0"/>
    </xf>
    <xf numFmtId="0" fontId="0" fillId="34" borderId="26" xfId="0" applyFill="1" applyBorder="1" applyAlignment="1" applyProtection="1">
      <alignment vertical="center"/>
      <protection locked="0"/>
    </xf>
    <xf numFmtId="2" fontId="2" fillId="19" borderId="55" xfId="0" applyNumberFormat="1" applyFont="1" applyFill="1" applyBorder="1" applyAlignment="1" applyProtection="1">
      <alignment horizontal="center" vertical="center" wrapText="1"/>
      <protection/>
    </xf>
    <xf numFmtId="2" fontId="2" fillId="19" borderId="71" xfId="0" applyNumberFormat="1" applyFont="1" applyFill="1" applyBorder="1" applyAlignment="1" applyProtection="1">
      <alignment horizontal="center" vertical="center" wrapText="1"/>
      <protection/>
    </xf>
    <xf numFmtId="0" fontId="0" fillId="34" borderId="54" xfId="0" applyFont="1" applyFill="1" applyBorder="1" applyAlignment="1" applyProtection="1">
      <alignment/>
      <protection/>
    </xf>
    <xf numFmtId="0" fontId="0" fillId="0" borderId="0" xfId="0" applyFont="1" applyAlignment="1" applyProtection="1">
      <alignment/>
      <protection locked="0"/>
    </xf>
    <xf numFmtId="2" fontId="0" fillId="36" borderId="42" xfId="57" applyNumberFormat="1" applyFont="1" applyFill="1" applyBorder="1" applyAlignment="1" applyProtection="1">
      <alignment horizontal="center" vertical="center"/>
      <protection locked="0"/>
    </xf>
    <xf numFmtId="2" fontId="0" fillId="36" borderId="43" xfId="57" applyNumberFormat="1" applyFont="1" applyFill="1" applyBorder="1" applyAlignment="1" applyProtection="1">
      <alignment horizontal="center" vertical="center"/>
      <protection locked="0"/>
    </xf>
    <xf numFmtId="2" fontId="0" fillId="17" borderId="38" xfId="0" applyNumberFormat="1" applyFont="1" applyFill="1" applyBorder="1" applyAlignment="1" applyProtection="1">
      <alignment horizontal="center" vertical="center"/>
      <protection locked="0"/>
    </xf>
    <xf numFmtId="43" fontId="0" fillId="37" borderId="34" xfId="42" applyFont="1" applyFill="1" applyBorder="1" applyAlignment="1" applyProtection="1">
      <alignment horizontal="left" vertical="center" wrapText="1"/>
      <protection locked="0"/>
    </xf>
    <xf numFmtId="43" fontId="0" fillId="37" borderId="30" xfId="42" applyFont="1" applyFill="1" applyBorder="1" applyAlignment="1" applyProtection="1">
      <alignment horizontal="left" vertical="center" wrapText="1"/>
      <protection locked="0"/>
    </xf>
    <xf numFmtId="0" fontId="0" fillId="43" borderId="30" xfId="0" applyFont="1" applyFill="1" applyBorder="1" applyAlignment="1" applyProtection="1">
      <alignment horizontal="center" vertical="center" wrapText="1"/>
      <protection locked="0"/>
    </xf>
    <xf numFmtId="0" fontId="0" fillId="17" borderId="46" xfId="57" applyFont="1" applyFill="1" applyBorder="1" applyAlignment="1" applyProtection="1">
      <alignment horizontal="left" vertical="center" wrapText="1"/>
      <protection locked="0"/>
    </xf>
    <xf numFmtId="2" fontId="0" fillId="17" borderId="43" xfId="0" applyNumberFormat="1" applyFont="1" applyFill="1" applyBorder="1" applyAlignment="1" applyProtection="1">
      <alignment horizontal="center" vertical="center" wrapText="1"/>
      <protection locked="0"/>
    </xf>
    <xf numFmtId="0" fontId="0" fillId="17" borderId="30" xfId="0" applyFont="1" applyFill="1" applyBorder="1" applyAlignment="1" applyProtection="1">
      <alignment horizontal="center" vertical="center" wrapText="1"/>
      <protection locked="0"/>
    </xf>
    <xf numFmtId="2" fontId="2" fillId="36" borderId="63" xfId="0" applyNumberFormat="1" applyFont="1" applyFill="1" applyBorder="1" applyAlignment="1" applyProtection="1">
      <alignment horizontal="center" vertical="center" wrapText="1"/>
      <protection locked="0"/>
    </xf>
    <xf numFmtId="2" fontId="2" fillId="17" borderId="60" xfId="0" applyNumberFormat="1" applyFont="1" applyFill="1" applyBorder="1" applyAlignment="1" applyProtection="1">
      <alignment horizontal="center" vertical="center" wrapText="1"/>
      <protection locked="0"/>
    </xf>
    <xf numFmtId="0" fontId="0" fillId="43" borderId="38" xfId="0" applyFont="1" applyFill="1" applyBorder="1" applyAlignment="1" applyProtection="1">
      <alignment horizontal="center" vertical="center" wrapText="1"/>
      <protection locked="0"/>
    </xf>
    <xf numFmtId="0" fontId="0" fillId="43" borderId="39" xfId="0" applyFont="1" applyFill="1" applyBorder="1" applyAlignment="1" applyProtection="1">
      <alignment horizontal="center" vertical="center" wrapText="1"/>
      <protection locked="0"/>
    </xf>
    <xf numFmtId="0" fontId="0" fillId="17" borderId="39" xfId="0" applyFont="1" applyFill="1" applyBorder="1" applyAlignment="1" applyProtection="1">
      <alignment horizontal="center" vertical="center" wrapText="1"/>
      <protection locked="0"/>
    </xf>
    <xf numFmtId="0" fontId="0" fillId="43" borderId="62" xfId="0" applyFont="1" applyFill="1" applyBorder="1" applyAlignment="1" applyProtection="1">
      <alignment vertical="center"/>
      <protection locked="0"/>
    </xf>
    <xf numFmtId="0" fontId="0" fillId="0" borderId="79"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0" fillId="0" borderId="78" xfId="0" applyFont="1" applyBorder="1" applyAlignment="1" applyProtection="1">
      <alignment horizontal="center" vertical="center"/>
      <protection locked="0"/>
    </xf>
    <xf numFmtId="0" fontId="2" fillId="0" borderId="10" xfId="0" applyFont="1" applyBorder="1" applyAlignment="1" applyProtection="1">
      <alignment horizontal="center" vertical="center" wrapText="1"/>
      <protection/>
    </xf>
    <xf numFmtId="0" fontId="2" fillId="0" borderId="72" xfId="0" applyFont="1" applyBorder="1" applyAlignment="1" applyProtection="1">
      <alignment horizontal="center" vertical="center" wrapText="1"/>
      <protection/>
    </xf>
    <xf numFmtId="0" fontId="2" fillId="0" borderId="41" xfId="0" applyFont="1" applyBorder="1" applyAlignment="1" applyProtection="1">
      <alignment horizontal="center" vertical="center" wrapText="1"/>
      <protection/>
    </xf>
    <xf numFmtId="0" fontId="0" fillId="33" borderId="10" xfId="0" applyFont="1" applyFill="1" applyBorder="1" applyAlignment="1" applyProtection="1">
      <alignment horizontal="center"/>
      <protection locked="0"/>
    </xf>
    <xf numFmtId="0" fontId="0" fillId="33" borderId="72" xfId="0" applyFont="1" applyFill="1" applyBorder="1" applyAlignment="1" applyProtection="1">
      <alignment horizontal="center"/>
      <protection locked="0"/>
    </xf>
    <xf numFmtId="0" fontId="0" fillId="33" borderId="41" xfId="0" applyFont="1" applyFill="1" applyBorder="1" applyAlignment="1" applyProtection="1">
      <alignment horizontal="center"/>
      <protection locked="0"/>
    </xf>
    <xf numFmtId="0" fontId="0" fillId="0" borderId="48" xfId="0" applyFont="1" applyBorder="1" applyAlignment="1" applyProtection="1">
      <alignment horizontal="center" vertical="center"/>
      <protection locked="0"/>
    </xf>
    <xf numFmtId="0" fontId="0" fillId="33" borderId="10" xfId="0" applyFont="1" applyFill="1" applyBorder="1" applyAlignment="1" applyProtection="1">
      <alignment horizontal="left"/>
      <protection locked="0"/>
    </xf>
    <xf numFmtId="0" fontId="0" fillId="33" borderId="72" xfId="0" applyFont="1" applyFill="1" applyBorder="1" applyAlignment="1" applyProtection="1">
      <alignment horizontal="left"/>
      <protection locked="0"/>
    </xf>
    <xf numFmtId="0" fontId="0" fillId="33" borderId="41" xfId="0" applyFont="1" applyFill="1" applyBorder="1" applyAlignment="1" applyProtection="1">
      <alignment horizontal="left"/>
      <protection locked="0"/>
    </xf>
    <xf numFmtId="0" fontId="2" fillId="0" borderId="78" xfId="0" applyFont="1" applyFill="1" applyBorder="1" applyAlignment="1" applyProtection="1">
      <alignment horizontal="center" vertical="center" wrapText="1"/>
      <protection/>
    </xf>
    <xf numFmtId="0" fontId="2" fillId="0" borderId="82" xfId="0" applyFont="1" applyFill="1" applyBorder="1" applyAlignment="1" applyProtection="1">
      <alignment horizontal="center" vertical="center" wrapText="1"/>
      <protection/>
    </xf>
    <xf numFmtId="0" fontId="0" fillId="33" borderId="11" xfId="0" applyFont="1" applyFill="1" applyBorder="1" applyAlignment="1" applyProtection="1">
      <alignment horizontal="left"/>
      <protection locked="0"/>
    </xf>
    <xf numFmtId="0" fontId="0" fillId="33" borderId="61" xfId="0" applyFont="1" applyFill="1" applyBorder="1" applyAlignment="1" applyProtection="1">
      <alignment horizontal="left"/>
      <protection locked="0"/>
    </xf>
    <xf numFmtId="0" fontId="0" fillId="33" borderId="71" xfId="0" applyFont="1" applyFill="1" applyBorder="1" applyAlignment="1" applyProtection="1">
      <alignment horizontal="left"/>
      <protection locked="0"/>
    </xf>
    <xf numFmtId="0" fontId="2" fillId="0" borderId="10" xfId="0" applyFont="1" applyFill="1" applyBorder="1" applyAlignment="1" applyProtection="1">
      <alignment horizontal="center" vertical="center" wrapText="1"/>
      <protection/>
    </xf>
    <xf numFmtId="0" fontId="2" fillId="0" borderId="41" xfId="0" applyFont="1" applyFill="1" applyBorder="1" applyAlignment="1" applyProtection="1">
      <alignment horizontal="center" vertical="center" wrapText="1"/>
      <protection/>
    </xf>
    <xf numFmtId="0" fontId="48" fillId="34" borderId="27" xfId="0" applyFont="1" applyFill="1" applyBorder="1" applyAlignment="1" applyProtection="1">
      <alignment horizontal="right" vertical="center" wrapText="1"/>
      <protection/>
    </xf>
    <xf numFmtId="0" fontId="48" fillId="34" borderId="28" xfId="0" applyFont="1" applyFill="1" applyBorder="1" applyAlignment="1" applyProtection="1">
      <alignment horizontal="right" vertical="center" wrapText="1"/>
      <protection/>
    </xf>
    <xf numFmtId="0" fontId="2" fillId="0" borderId="66" xfId="0" applyFont="1" applyFill="1" applyBorder="1" applyAlignment="1" applyProtection="1">
      <alignment horizontal="center" vertical="center" wrapText="1"/>
      <protection locked="0"/>
    </xf>
    <xf numFmtId="0" fontId="2" fillId="0" borderId="13" xfId="0" applyFont="1" applyFill="1" applyBorder="1" applyAlignment="1" applyProtection="1">
      <alignment horizontal="center" vertical="center" wrapText="1"/>
      <protection locked="0"/>
    </xf>
    <xf numFmtId="0" fontId="2" fillId="0" borderId="64" xfId="0" applyFont="1" applyFill="1" applyBorder="1" applyAlignment="1" applyProtection="1">
      <alignment horizontal="center" vertical="center" wrapText="1"/>
      <protection locked="0"/>
    </xf>
    <xf numFmtId="0" fontId="0" fillId="33" borderId="62" xfId="0" applyFont="1" applyFill="1" applyBorder="1" applyAlignment="1" applyProtection="1">
      <alignment horizontal="left"/>
      <protection locked="0"/>
    </xf>
    <xf numFmtId="0" fontId="0" fillId="33" borderId="60" xfId="0" applyFont="1" applyFill="1" applyBorder="1" applyAlignment="1" applyProtection="1">
      <alignment horizontal="left"/>
      <protection locked="0"/>
    </xf>
    <xf numFmtId="0" fontId="0" fillId="33" borderId="55" xfId="0" applyFont="1" applyFill="1" applyBorder="1" applyAlignment="1" applyProtection="1">
      <alignment horizontal="left"/>
      <protection locked="0"/>
    </xf>
    <xf numFmtId="14" fontId="0" fillId="33" borderId="11" xfId="0" applyNumberFormat="1" applyFont="1" applyFill="1" applyBorder="1" applyAlignment="1" applyProtection="1">
      <alignment horizontal="center"/>
      <protection locked="0"/>
    </xf>
    <xf numFmtId="0" fontId="0" fillId="33" borderId="61" xfId="0" applyFont="1" applyFill="1" applyBorder="1" applyAlignment="1" applyProtection="1">
      <alignment horizontal="center"/>
      <protection locked="0"/>
    </xf>
    <xf numFmtId="0" fontId="0" fillId="33" borderId="71" xfId="0" applyFont="1" applyFill="1" applyBorder="1" applyAlignment="1" applyProtection="1">
      <alignment horizontal="center"/>
      <protection locked="0"/>
    </xf>
    <xf numFmtId="0" fontId="0" fillId="33" borderId="62" xfId="0" applyFont="1" applyFill="1" applyBorder="1" applyAlignment="1" applyProtection="1">
      <alignment horizontal="center"/>
      <protection locked="0"/>
    </xf>
    <xf numFmtId="0" fontId="0" fillId="33" borderId="60" xfId="0" applyFont="1" applyFill="1" applyBorder="1" applyAlignment="1" applyProtection="1">
      <alignment horizontal="center"/>
      <protection locked="0"/>
    </xf>
    <xf numFmtId="0" fontId="0" fillId="33" borderId="55" xfId="0" applyFont="1" applyFill="1" applyBorder="1" applyAlignment="1" applyProtection="1">
      <alignment horizontal="center"/>
      <protection locked="0"/>
    </xf>
    <xf numFmtId="0" fontId="0" fillId="33" borderId="74" xfId="0" applyFont="1" applyFill="1" applyBorder="1" applyAlignment="1" applyProtection="1">
      <alignment wrapText="1"/>
      <protection/>
    </xf>
    <xf numFmtId="0" fontId="0" fillId="33" borderId="83" xfId="0" applyFont="1" applyFill="1" applyBorder="1" applyAlignment="1" applyProtection="1">
      <alignment wrapText="1"/>
      <protection/>
    </xf>
    <xf numFmtId="0" fontId="0" fillId="33" borderId="84" xfId="0" applyFont="1" applyFill="1" applyBorder="1" applyAlignment="1" applyProtection="1">
      <alignment wrapText="1"/>
      <protection/>
    </xf>
    <xf numFmtId="0" fontId="0" fillId="33" borderId="43" xfId="0" applyFont="1" applyFill="1" applyBorder="1" applyAlignment="1" applyProtection="1">
      <alignment horizontal="left" vertical="center" wrapText="1"/>
      <protection/>
    </xf>
    <xf numFmtId="0" fontId="0" fillId="33" borderId="60" xfId="0" applyFont="1" applyFill="1" applyBorder="1" applyAlignment="1" applyProtection="1">
      <alignment horizontal="left" vertical="center" wrapText="1"/>
      <protection/>
    </xf>
    <xf numFmtId="0" fontId="0" fillId="33" borderId="30" xfId="0" applyFont="1" applyFill="1" applyBorder="1" applyAlignment="1" applyProtection="1">
      <alignment horizontal="left" vertical="center" wrapText="1"/>
      <protection/>
    </xf>
    <xf numFmtId="0" fontId="7" fillId="38" borderId="0" xfId="0" applyFont="1" applyFill="1" applyBorder="1" applyAlignment="1" applyProtection="1">
      <alignment horizontal="center"/>
      <protection locked="0"/>
    </xf>
    <xf numFmtId="0" fontId="2" fillId="0" borderId="48" xfId="0" applyFont="1" applyFill="1" applyBorder="1" applyAlignment="1" applyProtection="1">
      <alignment horizontal="center" vertical="center"/>
      <protection locked="0"/>
    </xf>
    <xf numFmtId="0" fontId="2" fillId="0" borderId="49" xfId="0" applyFont="1" applyFill="1" applyBorder="1" applyAlignment="1" applyProtection="1">
      <alignment horizontal="center" vertical="center"/>
      <protection locked="0"/>
    </xf>
    <xf numFmtId="0" fontId="2" fillId="33" borderId="54" xfId="0" applyFont="1" applyFill="1" applyBorder="1" applyAlignment="1" applyProtection="1">
      <alignment horizontal="left" vertical="center"/>
      <protection/>
    </xf>
    <xf numFmtId="0" fontId="2" fillId="33" borderId="59" xfId="0" applyFont="1" applyFill="1" applyBorder="1" applyAlignment="1" applyProtection="1">
      <alignment horizontal="left" vertical="center"/>
      <protection/>
    </xf>
    <xf numFmtId="0" fontId="0" fillId="33" borderId="85" xfId="0" applyFont="1" applyFill="1" applyBorder="1" applyAlignment="1" applyProtection="1">
      <alignment vertical="top" wrapText="1"/>
      <protection/>
    </xf>
    <xf numFmtId="0" fontId="0" fillId="33" borderId="63" xfId="0" applyFont="1" applyFill="1" applyBorder="1" applyAlignment="1" applyProtection="1">
      <alignment vertical="top" wrapText="1"/>
      <protection/>
    </xf>
    <xf numFmtId="0" fontId="0" fillId="33" borderId="86" xfId="0" applyFont="1" applyFill="1" applyBorder="1" applyAlignment="1" applyProtection="1">
      <alignment vertical="top" wrapText="1"/>
      <protection/>
    </xf>
    <xf numFmtId="0" fontId="0" fillId="33" borderId="74" xfId="0" applyFont="1" applyFill="1" applyBorder="1" applyAlignment="1" applyProtection="1">
      <alignment horizontal="left" vertical="top" wrapText="1"/>
      <protection/>
    </xf>
    <xf numFmtId="0" fontId="0" fillId="33" borderId="83" xfId="0" applyFont="1" applyFill="1" applyBorder="1" applyAlignment="1" applyProtection="1">
      <alignment horizontal="left" vertical="top" wrapText="1"/>
      <protection/>
    </xf>
    <xf numFmtId="0" fontId="0" fillId="33" borderId="84" xfId="0" applyFont="1" applyFill="1" applyBorder="1" applyAlignment="1" applyProtection="1">
      <alignment horizontal="left" vertical="top" wrapText="1"/>
      <protection/>
    </xf>
    <xf numFmtId="0" fontId="0" fillId="33" borderId="21" xfId="0" applyFont="1" applyFill="1" applyBorder="1" applyAlignment="1" applyProtection="1">
      <alignment horizontal="left" vertical="top" wrapText="1"/>
      <protection/>
    </xf>
    <xf numFmtId="0" fontId="0" fillId="33" borderId="0" xfId="0" applyFont="1" applyFill="1" applyBorder="1" applyAlignment="1" applyProtection="1">
      <alignment horizontal="left" vertical="top" wrapText="1"/>
      <protection/>
    </xf>
    <xf numFmtId="0" fontId="0" fillId="33" borderId="58" xfId="0" applyFont="1" applyFill="1" applyBorder="1" applyAlignment="1" applyProtection="1">
      <alignment horizontal="left" vertical="top" wrapText="1"/>
      <protection/>
    </xf>
    <xf numFmtId="0" fontId="0" fillId="33" borderId="85" xfId="0" applyFont="1" applyFill="1" applyBorder="1" applyAlignment="1" applyProtection="1">
      <alignment horizontal="left" vertical="top" wrapText="1"/>
      <protection/>
    </xf>
    <xf numFmtId="0" fontId="0" fillId="33" borderId="63" xfId="0" applyFont="1" applyFill="1" applyBorder="1" applyAlignment="1" applyProtection="1">
      <alignment horizontal="left" vertical="top" wrapText="1"/>
      <protection/>
    </xf>
    <xf numFmtId="0" fontId="0" fillId="33" borderId="86" xfId="0" applyFont="1" applyFill="1" applyBorder="1" applyAlignment="1" applyProtection="1">
      <alignment horizontal="left" vertical="top" wrapText="1"/>
      <protection/>
    </xf>
    <xf numFmtId="0" fontId="2" fillId="33" borderId="10" xfId="0" applyFont="1" applyFill="1" applyBorder="1" applyAlignment="1" applyProtection="1">
      <alignment horizontal="center" wrapText="1"/>
      <protection/>
    </xf>
    <xf numFmtId="0" fontId="2" fillId="33" borderId="72" xfId="0" applyFont="1" applyFill="1" applyBorder="1" applyAlignment="1" applyProtection="1">
      <alignment horizontal="center" wrapText="1"/>
      <protection/>
    </xf>
    <xf numFmtId="0" fontId="2" fillId="33" borderId="41" xfId="0" applyFont="1" applyFill="1" applyBorder="1" applyAlignment="1" applyProtection="1">
      <alignment horizontal="center" wrapText="1"/>
      <protection/>
    </xf>
    <xf numFmtId="0" fontId="0" fillId="0" borderId="32" xfId="0" applyFont="1" applyFill="1" applyBorder="1" applyAlignment="1" applyProtection="1">
      <alignment horizontal="right" vertical="center"/>
      <protection/>
    </xf>
    <xf numFmtId="0" fontId="0" fillId="0" borderId="31" xfId="0" applyFont="1" applyFill="1" applyBorder="1" applyAlignment="1" applyProtection="1">
      <alignment horizontal="right" vertical="center"/>
      <protection/>
    </xf>
    <xf numFmtId="0" fontId="2" fillId="0" borderId="72" xfId="0" applyFont="1" applyFill="1" applyBorder="1" applyAlignment="1" applyProtection="1">
      <alignment horizontal="center" vertical="center" wrapText="1"/>
      <protection/>
    </xf>
    <xf numFmtId="0" fontId="4" fillId="0" borderId="54" xfId="0" applyNumberFormat="1" applyFont="1" applyFill="1" applyBorder="1" applyAlignment="1" applyProtection="1">
      <alignment horizontal="center" wrapText="1"/>
      <protection/>
    </xf>
    <xf numFmtId="0" fontId="4" fillId="0" borderId="27" xfId="0" applyNumberFormat="1" applyFont="1" applyFill="1" applyBorder="1" applyAlignment="1" applyProtection="1">
      <alignment horizontal="center" wrapText="1"/>
      <protection/>
    </xf>
    <xf numFmtId="0" fontId="2" fillId="0" borderId="78" xfId="0" applyFont="1" applyBorder="1" applyAlignment="1" applyProtection="1">
      <alignment horizontal="center" vertical="center" wrapText="1"/>
      <protection/>
    </xf>
    <xf numFmtId="0" fontId="2" fillId="0" borderId="82" xfId="0" applyFont="1" applyBorder="1" applyAlignment="1" applyProtection="1">
      <alignment horizontal="center" vertical="center" wrapText="1"/>
      <protection/>
    </xf>
    <xf numFmtId="0" fontId="2" fillId="33" borderId="27" xfId="0" applyFont="1" applyFill="1" applyBorder="1" applyAlignment="1" applyProtection="1">
      <alignment horizontal="center" vertical="center"/>
      <protection/>
    </xf>
    <xf numFmtId="0" fontId="2" fillId="33" borderId="28" xfId="0" applyFont="1" applyFill="1" applyBorder="1" applyAlignment="1" applyProtection="1">
      <alignment horizontal="center" vertical="center"/>
      <protection/>
    </xf>
    <xf numFmtId="0" fontId="2" fillId="0" borderId="63" xfId="0" applyFont="1" applyFill="1" applyBorder="1" applyAlignment="1" applyProtection="1">
      <alignment horizontal="center" vertical="center" wrapText="1"/>
      <protection/>
    </xf>
    <xf numFmtId="0" fontId="4" fillId="0" borderId="59" xfId="0" applyNumberFormat="1" applyFont="1" applyFill="1" applyBorder="1" applyAlignment="1" applyProtection="1">
      <alignment horizontal="center" wrapText="1"/>
      <protection/>
    </xf>
    <xf numFmtId="0" fontId="0" fillId="33" borderId="0" xfId="0" applyFont="1" applyFill="1" applyAlignment="1" applyProtection="1">
      <alignment horizontal="left" vertical="top" wrapText="1"/>
      <protection locked="0"/>
    </xf>
    <xf numFmtId="0" fontId="0" fillId="33" borderId="62" xfId="0" applyFont="1" applyFill="1" applyBorder="1" applyAlignment="1">
      <alignment horizontal="left" vertical="center" wrapText="1"/>
    </xf>
    <xf numFmtId="0" fontId="0" fillId="33" borderId="55" xfId="0" applyFont="1" applyFill="1" applyBorder="1" applyAlignment="1">
      <alignment horizontal="left" vertical="center" wrapText="1"/>
    </xf>
    <xf numFmtId="0" fontId="0" fillId="33" borderId="10" xfId="0" applyFont="1" applyFill="1" applyBorder="1" applyAlignment="1">
      <alignment horizontal="left" vertical="center"/>
    </xf>
    <xf numFmtId="0" fontId="0" fillId="33" borderId="41" xfId="0" applyFont="1" applyFill="1" applyBorder="1" applyAlignment="1">
      <alignment horizontal="left" vertical="center"/>
    </xf>
    <xf numFmtId="0" fontId="0" fillId="33" borderId="0" xfId="0" applyFont="1" applyFill="1" applyBorder="1" applyAlignment="1">
      <alignment horizontal="left" wrapText="1"/>
    </xf>
    <xf numFmtId="0" fontId="0" fillId="33" borderId="51" xfId="0" applyFont="1" applyFill="1" applyBorder="1" applyAlignment="1">
      <alignment horizontal="left" vertical="center"/>
    </xf>
    <xf numFmtId="0" fontId="0" fillId="33" borderId="53" xfId="0" applyFill="1" applyBorder="1" applyAlignment="1">
      <alignment horizontal="left" vertical="center"/>
    </xf>
    <xf numFmtId="0" fontId="0" fillId="33" borderId="10" xfId="0" applyFont="1" applyFill="1" applyBorder="1" applyAlignment="1">
      <alignment horizontal="left" vertical="center" wrapText="1"/>
    </xf>
    <xf numFmtId="0" fontId="0" fillId="33" borderId="41" xfId="0" applyFont="1" applyFill="1" applyBorder="1" applyAlignment="1">
      <alignment horizontal="left" vertical="center" wrapText="1"/>
    </xf>
    <xf numFmtId="0" fontId="0" fillId="33" borderId="11" xfId="0" applyFont="1" applyFill="1" applyBorder="1" applyAlignment="1">
      <alignment horizontal="left" vertical="center" wrapText="1"/>
    </xf>
    <xf numFmtId="0" fontId="0" fillId="33" borderId="71" xfId="0" applyFont="1" applyFill="1" applyBorder="1" applyAlignment="1">
      <alignment horizontal="left" vertical="center" wrapText="1"/>
    </xf>
    <xf numFmtId="0" fontId="0" fillId="33" borderId="0" xfId="0" applyFont="1" applyFill="1" applyBorder="1" applyAlignment="1">
      <alignment horizontal="left" vertical="top" wrapText="1"/>
    </xf>
    <xf numFmtId="0" fontId="7" fillId="33" borderId="0" xfId="0" applyFont="1" applyFill="1" applyBorder="1" applyAlignment="1">
      <alignment horizontal="center"/>
    </xf>
    <xf numFmtId="0" fontId="0" fillId="33" borderId="27" xfId="0" applyFont="1" applyFill="1" applyBorder="1" applyAlignment="1">
      <alignment horizontal="left" vertical="center"/>
    </xf>
    <xf numFmtId="0" fontId="0" fillId="33" borderId="28" xfId="0" applyFont="1" applyFill="1" applyBorder="1" applyAlignment="1">
      <alignment horizontal="left" vertical="center"/>
    </xf>
    <xf numFmtId="0" fontId="0" fillId="33" borderId="11" xfId="0" applyFill="1" applyBorder="1" applyAlignment="1">
      <alignment horizontal="center"/>
    </xf>
    <xf numFmtId="0" fontId="0" fillId="33" borderId="61" xfId="0" applyFill="1" applyBorder="1" applyAlignment="1">
      <alignment horizontal="center"/>
    </xf>
    <xf numFmtId="0" fontId="0" fillId="33" borderId="71" xfId="0" applyFill="1" applyBorder="1" applyAlignment="1">
      <alignment horizontal="center"/>
    </xf>
    <xf numFmtId="0" fontId="0" fillId="33" borderId="10" xfId="0" applyFill="1" applyBorder="1" applyAlignment="1">
      <alignment horizontal="center"/>
    </xf>
    <xf numFmtId="0" fontId="0" fillId="33" borderId="72" xfId="0" applyFill="1" applyBorder="1" applyAlignment="1">
      <alignment horizontal="center"/>
    </xf>
    <xf numFmtId="0" fontId="0" fillId="33" borderId="41" xfId="0" applyFill="1" applyBorder="1" applyAlignment="1">
      <alignment horizontal="center"/>
    </xf>
    <xf numFmtId="0" fontId="0" fillId="33" borderId="0" xfId="0" applyFont="1" applyFill="1" applyAlignment="1">
      <alignment horizontal="left" vertical="top" wrapText="1"/>
    </xf>
    <xf numFmtId="0" fontId="0" fillId="33" borderId="0" xfId="0" applyFont="1" applyFill="1" applyAlignment="1">
      <alignment horizontal="left"/>
    </xf>
    <xf numFmtId="0" fontId="0" fillId="33" borderId="78" xfId="0" applyFont="1" applyFill="1" applyBorder="1" applyAlignment="1">
      <alignment horizontal="right"/>
    </xf>
    <xf numFmtId="0" fontId="0" fillId="33" borderId="63" xfId="0" applyFont="1" applyFill="1" applyBorder="1" applyAlignment="1">
      <alignment horizontal="right"/>
    </xf>
    <xf numFmtId="0" fontId="0" fillId="33" borderId="11" xfId="0" applyFont="1" applyFill="1" applyBorder="1" applyAlignment="1">
      <alignment horizontal="right"/>
    </xf>
    <xf numFmtId="0" fontId="0" fillId="33" borderId="61" xfId="0" applyFont="1" applyFill="1" applyBorder="1" applyAlignment="1">
      <alignment horizontal="right"/>
    </xf>
    <xf numFmtId="0" fontId="0" fillId="33" borderId="0" xfId="0" applyFont="1" applyFill="1" applyAlignment="1">
      <alignment horizontal="left" wrapText="1"/>
    </xf>
    <xf numFmtId="0" fontId="7" fillId="33" borderId="0" xfId="0" applyFont="1" applyFill="1" applyAlignment="1">
      <alignment horizontal="center"/>
    </xf>
    <xf numFmtId="0" fontId="0" fillId="33" borderId="10" xfId="0" applyFill="1" applyBorder="1" applyAlignment="1">
      <alignment horizontal="right"/>
    </xf>
    <xf numFmtId="0" fontId="0" fillId="33" borderId="72" xfId="0" applyFill="1" applyBorder="1" applyAlignment="1">
      <alignment horizontal="right"/>
    </xf>
    <xf numFmtId="0" fontId="0" fillId="33" borderId="11" xfId="0" applyFill="1" applyBorder="1" applyAlignment="1">
      <alignment horizontal="right"/>
    </xf>
    <xf numFmtId="0" fontId="0" fillId="33" borderId="61" xfId="0" applyFill="1" applyBorder="1" applyAlignment="1">
      <alignment horizontal="right"/>
    </xf>
    <xf numFmtId="0" fontId="0" fillId="33" borderId="32" xfId="0" applyFont="1" applyFill="1" applyBorder="1" applyAlignment="1">
      <alignment horizontal="right" wrapText="1"/>
    </xf>
    <xf numFmtId="0" fontId="0" fillId="33" borderId="80" xfId="0" applyFont="1" applyFill="1" applyBorder="1" applyAlignment="1">
      <alignment horizontal="right" wrapText="1"/>
    </xf>
    <xf numFmtId="0" fontId="0" fillId="33" borderId="26" xfId="0" applyFont="1" applyFill="1" applyBorder="1" applyAlignment="1">
      <alignment horizontal="right"/>
    </xf>
    <xf numFmtId="0" fontId="0" fillId="33" borderId="31" xfId="0" applyFont="1" applyFill="1" applyBorder="1" applyAlignment="1">
      <alignment horizontal="right" wrapText="1"/>
    </xf>
    <xf numFmtId="0" fontId="0" fillId="33" borderId="27" xfId="0" applyFont="1" applyFill="1" applyBorder="1" applyAlignment="1">
      <alignment horizontal="right"/>
    </xf>
    <xf numFmtId="0" fontId="0" fillId="16" borderId="45" xfId="57" applyFont="1" applyFill="1" applyBorder="1" applyAlignment="1" applyProtection="1">
      <alignment vertical="center" wrapText="1"/>
      <protection locked="0"/>
    </xf>
    <xf numFmtId="0" fontId="0" fillId="16" borderId="46" xfId="57" applyFont="1" applyFill="1" applyBorder="1" applyAlignment="1" applyProtection="1">
      <alignment vertical="center" wrapText="1"/>
      <protection locked="0"/>
    </xf>
    <xf numFmtId="1" fontId="0" fillId="33" borderId="10" xfId="0" applyNumberFormat="1" applyFont="1" applyFill="1" applyBorder="1" applyAlignment="1" applyProtection="1">
      <alignment vertical="center"/>
      <protection locked="0"/>
    </xf>
    <xf numFmtId="1" fontId="0" fillId="33" borderId="62" xfId="0" applyNumberFormat="1" applyFont="1" applyFill="1" applyBorder="1" applyAlignment="1" applyProtection="1">
      <alignment vertical="center"/>
      <protection locked="0"/>
    </xf>
    <xf numFmtId="43" fontId="0" fillId="16" borderId="45" xfId="45" applyFont="1" applyFill="1" applyBorder="1" applyAlignment="1" applyProtection="1">
      <alignment horizontal="left" vertical="center" wrapText="1"/>
      <protection locked="0"/>
    </xf>
    <xf numFmtId="0" fontId="0" fillId="16" borderId="45" xfId="57" applyFont="1" applyFill="1" applyBorder="1" applyAlignment="1" applyProtection="1">
      <alignment horizontal="left" vertical="center" wrapText="1"/>
      <protection locked="0"/>
    </xf>
    <xf numFmtId="0" fontId="0" fillId="33" borderId="10" xfId="0" applyFont="1" applyFill="1" applyBorder="1" applyAlignment="1" applyProtection="1">
      <alignment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4">
    <dxf>
      <fill>
        <patternFill>
          <bgColor rgb="FFFF0000"/>
        </patternFill>
      </fill>
    </dxf>
    <dxf>
      <fill>
        <patternFill>
          <bgColor rgb="FF00B050"/>
        </patternFill>
      </fill>
    </dxf>
    <dxf>
      <fill>
        <patternFill>
          <bgColor rgb="FFFF0000"/>
        </patternFill>
      </fill>
    </dxf>
    <dxf>
      <fill>
        <patternFill>
          <bgColor rgb="FF00B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314325</xdr:colOff>
      <xdr:row>33</xdr:row>
      <xdr:rowOff>9525</xdr:rowOff>
    </xdr:from>
    <xdr:to>
      <xdr:col>1</xdr:col>
      <xdr:colOff>1590675</xdr:colOff>
      <xdr:row>38</xdr:row>
      <xdr:rowOff>95250</xdr:rowOff>
    </xdr:to>
    <xdr:pic>
      <xdr:nvPicPr>
        <xdr:cNvPr id="1" name="Picture 3"/>
        <xdr:cNvPicPr preferRelativeResize="1">
          <a:picLocks noChangeAspect="1"/>
        </xdr:cNvPicPr>
      </xdr:nvPicPr>
      <xdr:blipFill>
        <a:blip r:embed="rId1"/>
        <a:stretch>
          <a:fillRect/>
        </a:stretch>
      </xdr:blipFill>
      <xdr:spPr>
        <a:xfrm>
          <a:off x="314325" y="8296275"/>
          <a:ext cx="1885950" cy="895350"/>
        </a:xfrm>
        <a:prstGeom prst="rect">
          <a:avLst/>
        </a:prstGeom>
        <a:noFill/>
        <a:ln w="9525" cmpd="sng">
          <a:noFill/>
        </a:ln>
      </xdr:spPr>
    </xdr:pic>
    <xdr:clientData/>
  </xdr:twoCellAnchor>
  <xdr:twoCellAnchor editAs="oneCell">
    <xdr:from>
      <xdr:col>2</xdr:col>
      <xdr:colOff>247650</xdr:colOff>
      <xdr:row>35</xdr:row>
      <xdr:rowOff>76200</xdr:rowOff>
    </xdr:from>
    <xdr:to>
      <xdr:col>5</xdr:col>
      <xdr:colOff>457200</xdr:colOff>
      <xdr:row>39</xdr:row>
      <xdr:rowOff>38100</xdr:rowOff>
    </xdr:to>
    <xdr:pic>
      <xdr:nvPicPr>
        <xdr:cNvPr id="2" name="Picture 1"/>
        <xdr:cNvPicPr preferRelativeResize="1">
          <a:picLocks noChangeAspect="1"/>
        </xdr:cNvPicPr>
      </xdr:nvPicPr>
      <xdr:blipFill>
        <a:blip r:embed="rId2"/>
        <a:stretch>
          <a:fillRect/>
        </a:stretch>
      </xdr:blipFill>
      <xdr:spPr>
        <a:xfrm>
          <a:off x="2466975" y="8686800"/>
          <a:ext cx="3019425"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M187"/>
  <sheetViews>
    <sheetView zoomScale="80" zoomScaleNormal="80" zoomScalePageLayoutView="0" workbookViewId="0" topLeftCell="F16">
      <selection activeCell="Q87" sqref="Q87"/>
    </sheetView>
  </sheetViews>
  <sheetFormatPr defaultColWidth="9.140625" defaultRowHeight="12.75"/>
  <cols>
    <col min="1" max="1" width="1.421875" style="77" customWidth="1"/>
    <col min="2" max="3" width="7.140625" style="81" customWidth="1"/>
    <col min="4" max="4" width="45.7109375" style="113" customWidth="1"/>
    <col min="5" max="5" width="11.421875" style="113" customWidth="1"/>
    <col min="6" max="6" width="15.00390625" style="113" customWidth="1"/>
    <col min="7" max="7" width="12.8515625" style="113" customWidth="1"/>
    <col min="8" max="8" width="15.00390625" style="113" customWidth="1"/>
    <col min="9" max="14" width="12.8515625" style="113" customWidth="1"/>
    <col min="15" max="15" width="16.7109375" style="113" customWidth="1"/>
    <col min="16" max="16" width="10.7109375" style="113" customWidth="1"/>
    <col min="17" max="17" width="185.7109375" style="113" customWidth="1"/>
    <col min="18" max="32" width="13.421875" style="77" customWidth="1"/>
    <col min="33" max="33" width="13.57421875" style="80" hidden="1" customWidth="1"/>
    <col min="34" max="34" width="46.140625" style="80" hidden="1" customWidth="1"/>
    <col min="35" max="35" width="23.57421875" style="80" hidden="1" customWidth="1"/>
    <col min="36" max="36" width="13.421875" style="80" hidden="1" customWidth="1"/>
    <col min="37" max="37" width="9.140625" style="80" hidden="1" customWidth="1"/>
    <col min="38" max="41" width="13.28125" style="80" hidden="1" customWidth="1"/>
    <col min="42" max="42" width="9.140625" style="80" hidden="1" customWidth="1"/>
    <col min="43" max="43" width="14.421875" style="80" hidden="1" customWidth="1"/>
    <col min="44" max="52" width="9.140625" style="80" hidden="1" customWidth="1"/>
    <col min="53" max="65" width="9.140625" style="80" customWidth="1"/>
    <col min="66" max="16384" width="9.140625" style="81" customWidth="1"/>
  </cols>
  <sheetData>
    <row r="1" spans="2:17" ht="13.5" thickBot="1">
      <c r="B1" s="77"/>
      <c r="C1" s="77"/>
      <c r="D1" s="78"/>
      <c r="E1" s="78"/>
      <c r="F1" s="78"/>
      <c r="G1" s="78"/>
      <c r="H1" s="78"/>
      <c r="I1" s="78"/>
      <c r="J1" s="78"/>
      <c r="K1" s="78"/>
      <c r="L1" s="78"/>
      <c r="M1" s="79" t="s">
        <v>339</v>
      </c>
      <c r="N1" s="78"/>
      <c r="O1" s="78"/>
      <c r="P1" s="78"/>
      <c r="Q1" s="78"/>
    </row>
    <row r="2" spans="2:44" ht="13.5" customHeight="1" thickBot="1">
      <c r="B2" s="77"/>
      <c r="C2" s="77"/>
      <c r="D2" s="764" t="s">
        <v>257</v>
      </c>
      <c r="E2" s="764"/>
      <c r="F2" s="764"/>
      <c r="G2" s="764"/>
      <c r="H2" s="78"/>
      <c r="I2" s="78"/>
      <c r="J2" s="82"/>
      <c r="K2" s="82"/>
      <c r="L2" s="82"/>
      <c r="M2" s="708" t="s">
        <v>340</v>
      </c>
      <c r="N2" s="83"/>
      <c r="O2" s="78"/>
      <c r="P2" s="78"/>
      <c r="Q2" s="78"/>
      <c r="AH2" s="660" t="s">
        <v>79</v>
      </c>
      <c r="AI2" s="661" t="s">
        <v>12</v>
      </c>
      <c r="AJ2" s="765" t="s">
        <v>0</v>
      </c>
      <c r="AK2" s="766"/>
      <c r="AL2" s="746" t="s">
        <v>115</v>
      </c>
      <c r="AM2" s="747"/>
      <c r="AN2" s="747" t="s">
        <v>75</v>
      </c>
      <c r="AO2" s="748"/>
      <c r="AP2" s="84"/>
      <c r="AQ2" s="84"/>
      <c r="AR2" s="84"/>
    </row>
    <row r="3" spans="2:44" ht="13.5" thickBot="1">
      <c r="B3" s="77"/>
      <c r="C3" s="77"/>
      <c r="D3" s="85"/>
      <c r="E3" s="78"/>
      <c r="F3" s="78"/>
      <c r="G3" s="78"/>
      <c r="H3" s="78"/>
      <c r="I3" s="78"/>
      <c r="J3" s="86"/>
      <c r="K3" s="86"/>
      <c r="L3" s="86"/>
      <c r="M3" s="83" t="s">
        <v>109</v>
      </c>
      <c r="N3" s="77"/>
      <c r="O3" s="78"/>
      <c r="P3" s="78"/>
      <c r="Q3" s="78"/>
      <c r="AH3" s="87" t="s">
        <v>171</v>
      </c>
      <c r="AI3" s="671" t="s">
        <v>112</v>
      </c>
      <c r="AJ3" s="88" t="s">
        <v>114</v>
      </c>
      <c r="AK3" s="89">
        <v>0</v>
      </c>
      <c r="AL3" s="88" t="s">
        <v>54</v>
      </c>
      <c r="AM3" s="89">
        <v>1</v>
      </c>
      <c r="AN3" s="674" t="s">
        <v>54</v>
      </c>
      <c r="AO3" s="90">
        <v>1</v>
      </c>
      <c r="AP3" s="84"/>
      <c r="AQ3" s="84"/>
      <c r="AR3" s="84"/>
    </row>
    <row r="4" spans="2:44" ht="13.5" thickBot="1">
      <c r="B4" s="77"/>
      <c r="C4" s="293" t="s">
        <v>5</v>
      </c>
      <c r="D4" s="294"/>
      <c r="E4" s="83"/>
      <c r="F4" s="83"/>
      <c r="G4" s="83"/>
      <c r="H4" s="83"/>
      <c r="I4" s="83"/>
      <c r="J4" s="83"/>
      <c r="K4" s="83"/>
      <c r="L4" s="78"/>
      <c r="M4" s="761" t="s">
        <v>225</v>
      </c>
      <c r="N4" s="762"/>
      <c r="O4" s="763"/>
      <c r="P4" s="351"/>
      <c r="Q4" s="77"/>
      <c r="AH4" s="96" t="s">
        <v>172</v>
      </c>
      <c r="AI4" s="134" t="s">
        <v>112</v>
      </c>
      <c r="AJ4" s="97" t="s">
        <v>54</v>
      </c>
      <c r="AK4" s="98">
        <v>1</v>
      </c>
      <c r="AL4" s="97" t="s">
        <v>54</v>
      </c>
      <c r="AM4" s="98">
        <v>1</v>
      </c>
      <c r="AN4" s="675" t="s">
        <v>54</v>
      </c>
      <c r="AO4" s="99">
        <v>1</v>
      </c>
      <c r="AP4" s="84"/>
      <c r="AQ4" s="91" t="s">
        <v>0</v>
      </c>
      <c r="AR4" s="92"/>
    </row>
    <row r="5" spans="2:44" ht="12.75">
      <c r="B5" s="77"/>
      <c r="C5" s="295"/>
      <c r="D5" s="296" t="s">
        <v>81</v>
      </c>
      <c r="E5" s="83"/>
      <c r="F5" s="734" t="s">
        <v>108</v>
      </c>
      <c r="G5" s="735"/>
      <c r="H5" s="736"/>
      <c r="I5" s="730" t="s">
        <v>357</v>
      </c>
      <c r="J5" s="731"/>
      <c r="K5" s="732"/>
      <c r="L5" s="93"/>
      <c r="M5" s="758" t="s">
        <v>233</v>
      </c>
      <c r="N5" s="759"/>
      <c r="O5" s="760"/>
      <c r="P5" s="352"/>
      <c r="Q5" s="78"/>
      <c r="AH5" s="96" t="s">
        <v>126</v>
      </c>
      <c r="AI5" s="134" t="s">
        <v>13</v>
      </c>
      <c r="AJ5" s="97" t="s">
        <v>52</v>
      </c>
      <c r="AK5" s="98">
        <v>6</v>
      </c>
      <c r="AL5" s="97" t="s">
        <v>112</v>
      </c>
      <c r="AM5" s="98" t="s">
        <v>110</v>
      </c>
      <c r="AN5" s="675" t="s">
        <v>54</v>
      </c>
      <c r="AO5" s="99">
        <v>1</v>
      </c>
      <c r="AP5" s="84"/>
      <c r="AQ5" s="94" t="s">
        <v>52</v>
      </c>
      <c r="AR5" s="95">
        <v>6</v>
      </c>
    </row>
    <row r="6" spans="2:44" ht="12.75" customHeight="1">
      <c r="B6" s="77"/>
      <c r="C6" s="297"/>
      <c r="D6" s="298" t="s">
        <v>235</v>
      </c>
      <c r="E6" s="83"/>
      <c r="F6" s="749" t="s">
        <v>107</v>
      </c>
      <c r="G6" s="750"/>
      <c r="H6" s="751"/>
      <c r="I6" s="755" t="s">
        <v>358</v>
      </c>
      <c r="J6" s="756"/>
      <c r="K6" s="757"/>
      <c r="L6" s="93"/>
      <c r="M6" s="769" t="s">
        <v>234</v>
      </c>
      <c r="N6" s="770"/>
      <c r="O6" s="771"/>
      <c r="P6" s="353"/>
      <c r="Q6" s="78"/>
      <c r="AH6" s="96" t="s">
        <v>127</v>
      </c>
      <c r="AI6" s="134" t="s">
        <v>14</v>
      </c>
      <c r="AJ6" s="97" t="s">
        <v>76</v>
      </c>
      <c r="AK6" s="98">
        <v>4</v>
      </c>
      <c r="AL6" s="97" t="s">
        <v>76</v>
      </c>
      <c r="AM6" s="98">
        <v>1.5</v>
      </c>
      <c r="AN6" s="675" t="s">
        <v>54</v>
      </c>
      <c r="AO6" s="99">
        <v>1</v>
      </c>
      <c r="AP6" s="84"/>
      <c r="AQ6" s="100" t="s">
        <v>307</v>
      </c>
      <c r="AR6" s="101">
        <v>5</v>
      </c>
    </row>
    <row r="7" spans="2:44" ht="13.5" customHeight="1">
      <c r="B7" s="77"/>
      <c r="C7" s="299"/>
      <c r="D7" s="298" t="s">
        <v>122</v>
      </c>
      <c r="E7" s="83"/>
      <c r="F7" s="749" t="s">
        <v>106</v>
      </c>
      <c r="G7" s="750"/>
      <c r="H7" s="751"/>
      <c r="I7" s="755"/>
      <c r="J7" s="756"/>
      <c r="K7" s="757"/>
      <c r="L7" s="93"/>
      <c r="M7" s="772" t="s">
        <v>226</v>
      </c>
      <c r="N7" s="773"/>
      <c r="O7" s="774"/>
      <c r="P7" s="354"/>
      <c r="Q7" s="78"/>
      <c r="AH7" s="96" t="s">
        <v>128</v>
      </c>
      <c r="AI7" s="134" t="s">
        <v>15</v>
      </c>
      <c r="AJ7" s="97" t="s">
        <v>76</v>
      </c>
      <c r="AK7" s="98">
        <v>4</v>
      </c>
      <c r="AL7" s="97" t="s">
        <v>112</v>
      </c>
      <c r="AM7" s="98" t="s">
        <v>110</v>
      </c>
      <c r="AN7" s="675" t="s">
        <v>54</v>
      </c>
      <c r="AO7" s="99">
        <v>1</v>
      </c>
      <c r="AP7" s="84"/>
      <c r="AQ7" s="100" t="s">
        <v>76</v>
      </c>
      <c r="AR7" s="101">
        <v>4</v>
      </c>
    </row>
    <row r="8" spans="2:44" ht="13.5" customHeight="1">
      <c r="B8" s="77"/>
      <c r="C8" s="300"/>
      <c r="D8" s="298" t="s">
        <v>7</v>
      </c>
      <c r="E8" s="83"/>
      <c r="F8" s="749" t="s">
        <v>300</v>
      </c>
      <c r="G8" s="750"/>
      <c r="H8" s="751"/>
      <c r="I8" s="755" t="s">
        <v>359</v>
      </c>
      <c r="J8" s="756"/>
      <c r="K8" s="757"/>
      <c r="L8" s="93"/>
      <c r="M8" s="775" t="s">
        <v>227</v>
      </c>
      <c r="N8" s="776"/>
      <c r="O8" s="777"/>
      <c r="P8" s="354"/>
      <c r="Q8" s="78"/>
      <c r="AH8" s="96" t="s">
        <v>129</v>
      </c>
      <c r="AI8" s="134" t="s">
        <v>16</v>
      </c>
      <c r="AJ8" s="97" t="s">
        <v>54</v>
      </c>
      <c r="AK8" s="98">
        <v>2</v>
      </c>
      <c r="AL8" s="97" t="s">
        <v>76</v>
      </c>
      <c r="AM8" s="98">
        <v>1.5</v>
      </c>
      <c r="AN8" s="675" t="s">
        <v>54</v>
      </c>
      <c r="AO8" s="99">
        <v>1</v>
      </c>
      <c r="AP8" s="84"/>
      <c r="AQ8" s="611" t="s">
        <v>306</v>
      </c>
      <c r="AR8" s="612">
        <v>3</v>
      </c>
    </row>
    <row r="9" spans="2:44" ht="13.5" customHeight="1" thickBot="1">
      <c r="B9" s="77"/>
      <c r="C9" s="301"/>
      <c r="D9" s="298" t="s">
        <v>73</v>
      </c>
      <c r="E9" s="83"/>
      <c r="F9" s="739" t="s">
        <v>123</v>
      </c>
      <c r="G9" s="740"/>
      <c r="H9" s="741"/>
      <c r="I9" s="752">
        <v>42816</v>
      </c>
      <c r="J9" s="753"/>
      <c r="K9" s="754"/>
      <c r="L9" s="102"/>
      <c r="M9" s="778" t="s">
        <v>228</v>
      </c>
      <c r="N9" s="779"/>
      <c r="O9" s="780"/>
      <c r="P9" s="354"/>
      <c r="Q9" s="78"/>
      <c r="AH9" s="96" t="s">
        <v>130</v>
      </c>
      <c r="AI9" s="134" t="s">
        <v>17</v>
      </c>
      <c r="AJ9" s="97" t="s">
        <v>76</v>
      </c>
      <c r="AK9" s="98">
        <v>4</v>
      </c>
      <c r="AL9" s="97" t="s">
        <v>112</v>
      </c>
      <c r="AM9" s="98" t="s">
        <v>110</v>
      </c>
      <c r="AN9" s="675" t="s">
        <v>54</v>
      </c>
      <c r="AO9" s="99">
        <v>1</v>
      </c>
      <c r="AP9" s="84"/>
      <c r="AQ9" s="100" t="s">
        <v>54</v>
      </c>
      <c r="AR9" s="101">
        <v>2</v>
      </c>
    </row>
    <row r="10" spans="2:44" ht="13.5" customHeight="1" thickBot="1">
      <c r="B10" s="77"/>
      <c r="C10" s="302"/>
      <c r="D10" s="303" t="s">
        <v>144</v>
      </c>
      <c r="E10" s="93"/>
      <c r="F10" s="83"/>
      <c r="G10" s="83"/>
      <c r="H10" s="83"/>
      <c r="I10" s="83"/>
      <c r="J10" s="83"/>
      <c r="K10" s="83"/>
      <c r="L10" s="78"/>
      <c r="M10" s="78"/>
      <c r="N10" s="78"/>
      <c r="O10" s="78"/>
      <c r="P10" s="78"/>
      <c r="Q10" s="78"/>
      <c r="AH10" s="96" t="s">
        <v>131</v>
      </c>
      <c r="AI10" s="134" t="s">
        <v>18</v>
      </c>
      <c r="AJ10" s="97" t="s">
        <v>54</v>
      </c>
      <c r="AK10" s="98">
        <v>2</v>
      </c>
      <c r="AL10" s="97" t="s">
        <v>76</v>
      </c>
      <c r="AM10" s="98">
        <v>1.5</v>
      </c>
      <c r="AN10" s="675" t="s">
        <v>54</v>
      </c>
      <c r="AO10" s="99">
        <v>1</v>
      </c>
      <c r="AP10" s="84"/>
      <c r="AQ10" s="103" t="s">
        <v>114</v>
      </c>
      <c r="AR10" s="104">
        <v>0</v>
      </c>
    </row>
    <row r="11" spans="4:65" s="105" customFormat="1" ht="13.5" thickBot="1">
      <c r="D11" s="106"/>
      <c r="E11" s="86"/>
      <c r="H11" s="86"/>
      <c r="I11" s="86"/>
      <c r="J11" s="781" t="s">
        <v>196</v>
      </c>
      <c r="K11" s="782"/>
      <c r="L11" s="782"/>
      <c r="M11" s="782"/>
      <c r="N11" s="782"/>
      <c r="O11" s="783"/>
      <c r="P11" s="355"/>
      <c r="Q11" s="86"/>
      <c r="AG11" s="107"/>
      <c r="AH11" s="96" t="s">
        <v>132</v>
      </c>
      <c r="AI11" s="134" t="s">
        <v>112</v>
      </c>
      <c r="AJ11" s="97" t="s">
        <v>52</v>
      </c>
      <c r="AK11" s="98">
        <v>6</v>
      </c>
      <c r="AL11" s="97" t="s">
        <v>76</v>
      </c>
      <c r="AM11" s="98">
        <v>1.5</v>
      </c>
      <c r="AN11" s="97" t="s">
        <v>76</v>
      </c>
      <c r="AO11" s="98">
        <v>1.5</v>
      </c>
      <c r="AP11" s="84"/>
      <c r="AS11" s="107"/>
      <c r="AT11" s="107"/>
      <c r="AU11" s="107"/>
      <c r="AV11" s="107"/>
      <c r="AW11" s="107"/>
      <c r="AX11" s="107"/>
      <c r="AY11" s="107"/>
      <c r="AZ11" s="107"/>
      <c r="BA11" s="107"/>
      <c r="BB11" s="107"/>
      <c r="BC11" s="107"/>
      <c r="BD11" s="107"/>
      <c r="BE11" s="107"/>
      <c r="BF11" s="107"/>
      <c r="BG11" s="107"/>
      <c r="BH11" s="107"/>
      <c r="BI11" s="107"/>
      <c r="BJ11" s="107"/>
      <c r="BK11" s="107"/>
      <c r="BL11" s="107"/>
      <c r="BM11" s="107"/>
    </row>
    <row r="12" spans="1:65" s="113" customFormat="1" ht="39" customHeight="1" thickBot="1">
      <c r="A12" s="78"/>
      <c r="B12" s="78"/>
      <c r="C12" s="727" t="s">
        <v>293</v>
      </c>
      <c r="D12" s="728"/>
      <c r="E12" s="729"/>
      <c r="F12" s="742" t="s">
        <v>102</v>
      </c>
      <c r="G12" s="743"/>
      <c r="H12" s="742" t="s">
        <v>103</v>
      </c>
      <c r="I12" s="743"/>
      <c r="J12" s="737" t="s">
        <v>199</v>
      </c>
      <c r="K12" s="738"/>
      <c r="L12" s="793" t="s">
        <v>301</v>
      </c>
      <c r="M12" s="793"/>
      <c r="N12" s="789" t="s">
        <v>200</v>
      </c>
      <c r="O12" s="790"/>
      <c r="P12" s="356"/>
      <c r="Q12" s="78"/>
      <c r="R12" s="78"/>
      <c r="S12" s="78"/>
      <c r="T12" s="78"/>
      <c r="U12" s="78"/>
      <c r="V12" s="78"/>
      <c r="W12" s="78"/>
      <c r="X12" s="78"/>
      <c r="Y12" s="78"/>
      <c r="Z12" s="78"/>
      <c r="AA12" s="78"/>
      <c r="AB12" s="78"/>
      <c r="AC12" s="78"/>
      <c r="AD12" s="78"/>
      <c r="AE12" s="78"/>
      <c r="AG12" s="110"/>
      <c r="AH12" s="96" t="s">
        <v>148</v>
      </c>
      <c r="AI12" s="134" t="s">
        <v>19</v>
      </c>
      <c r="AJ12" s="97" t="s">
        <v>306</v>
      </c>
      <c r="AK12" s="98">
        <v>3</v>
      </c>
      <c r="AL12" s="97" t="s">
        <v>54</v>
      </c>
      <c r="AM12" s="98">
        <v>1</v>
      </c>
      <c r="AN12" s="675" t="s">
        <v>54</v>
      </c>
      <c r="AO12" s="99">
        <v>1</v>
      </c>
      <c r="AP12" s="84"/>
      <c r="AQ12" s="108" t="s">
        <v>1</v>
      </c>
      <c r="AR12" s="109"/>
      <c r="AS12" s="110"/>
      <c r="AT12" s="110"/>
      <c r="AU12" s="110"/>
      <c r="AV12" s="110"/>
      <c r="AW12" s="110"/>
      <c r="AX12" s="110"/>
      <c r="AY12" s="110"/>
      <c r="AZ12" s="110"/>
      <c r="BA12" s="110"/>
      <c r="BB12" s="110"/>
      <c r="BC12" s="110"/>
      <c r="BD12" s="110"/>
      <c r="BE12" s="110"/>
      <c r="BF12" s="110"/>
      <c r="BG12" s="110"/>
      <c r="BH12" s="110"/>
      <c r="BI12" s="110"/>
      <c r="BJ12" s="110"/>
      <c r="BK12" s="110"/>
      <c r="BL12" s="110"/>
      <c r="BM12" s="110"/>
    </row>
    <row r="13" spans="2:44" ht="26.25" thickBot="1">
      <c r="B13" s="239" t="s">
        <v>11</v>
      </c>
      <c r="C13" s="240" t="s">
        <v>10</v>
      </c>
      <c r="D13" s="241" t="s">
        <v>209</v>
      </c>
      <c r="E13" s="242" t="s">
        <v>266</v>
      </c>
      <c r="F13" s="243" t="s">
        <v>0</v>
      </c>
      <c r="G13" s="244" t="s">
        <v>80</v>
      </c>
      <c r="H13" s="243" t="s">
        <v>1</v>
      </c>
      <c r="I13" s="244" t="s">
        <v>80</v>
      </c>
      <c r="J13" s="228" t="s">
        <v>72</v>
      </c>
      <c r="K13" s="229" t="s">
        <v>197</v>
      </c>
      <c r="L13" s="230" t="s">
        <v>198</v>
      </c>
      <c r="M13" s="231" t="s">
        <v>197</v>
      </c>
      <c r="N13" s="228" t="s">
        <v>198</v>
      </c>
      <c r="O13" s="231" t="s">
        <v>197</v>
      </c>
      <c r="P13" s="372" t="s">
        <v>9</v>
      </c>
      <c r="Q13" s="373"/>
      <c r="AH13" s="96" t="s">
        <v>149</v>
      </c>
      <c r="AI13" s="134" t="s">
        <v>20</v>
      </c>
      <c r="AJ13" s="97" t="s">
        <v>76</v>
      </c>
      <c r="AK13" s="98">
        <v>4</v>
      </c>
      <c r="AL13" s="97" t="s">
        <v>54</v>
      </c>
      <c r="AM13" s="98">
        <v>1</v>
      </c>
      <c r="AN13" s="675" t="s">
        <v>54</v>
      </c>
      <c r="AO13" s="99">
        <v>1</v>
      </c>
      <c r="AP13" s="84"/>
      <c r="AQ13" s="111" t="s">
        <v>70</v>
      </c>
      <c r="AR13" s="112">
        <v>3</v>
      </c>
    </row>
    <row r="14" spans="2:44" ht="26.25" thickBot="1">
      <c r="B14" s="707"/>
      <c r="C14" s="233"/>
      <c r="D14" s="234" t="s">
        <v>290</v>
      </c>
      <c r="E14" s="235"/>
      <c r="F14" s="236"/>
      <c r="G14" s="235" t="s">
        <v>2</v>
      </c>
      <c r="H14" s="236"/>
      <c r="I14" s="235" t="s">
        <v>3</v>
      </c>
      <c r="J14" s="236" t="s">
        <v>4</v>
      </c>
      <c r="K14" s="237" t="s">
        <v>191</v>
      </c>
      <c r="L14" s="236" t="s">
        <v>141</v>
      </c>
      <c r="M14" s="237" t="s">
        <v>192</v>
      </c>
      <c r="N14" s="236" t="s">
        <v>119</v>
      </c>
      <c r="O14" s="238" t="s">
        <v>193</v>
      </c>
      <c r="P14" s="120"/>
      <c r="Q14" s="391"/>
      <c r="AH14" s="96" t="s">
        <v>335</v>
      </c>
      <c r="AI14" s="134" t="s">
        <v>59</v>
      </c>
      <c r="AJ14" s="97" t="s">
        <v>76</v>
      </c>
      <c r="AK14" s="98">
        <v>4</v>
      </c>
      <c r="AL14" s="97" t="s">
        <v>54</v>
      </c>
      <c r="AM14" s="98">
        <v>1</v>
      </c>
      <c r="AN14" s="675" t="s">
        <v>54</v>
      </c>
      <c r="AO14" s="99">
        <v>1</v>
      </c>
      <c r="AP14" s="84"/>
      <c r="AQ14" s="100" t="s">
        <v>53</v>
      </c>
      <c r="AR14" s="101">
        <v>2</v>
      </c>
    </row>
    <row r="15" spans="1:65" s="118" customFormat="1" ht="13.5" thickBot="1">
      <c r="A15" s="115"/>
      <c r="B15" s="198"/>
      <c r="C15" s="576" t="str">
        <f>IF($D15&gt;0,(VLOOKUP($D15,$AH$3:$AO$50,2,FALSE)),"")</f>
        <v>A21</v>
      </c>
      <c r="D15" s="577" t="s">
        <v>148</v>
      </c>
      <c r="E15" s="709">
        <v>3.71703</v>
      </c>
      <c r="F15" s="698" t="str">
        <f>IF($D15&gt;0,(VLOOKUP($D15,$AH$3:$AO$50,3,FALSE)),"")</f>
        <v>Medium-Low</v>
      </c>
      <c r="G15" s="214">
        <f aca="true" t="shared" si="0" ref="G15:G44">IF($D15&gt;0,(VLOOKUP($F15,$AQ$5:$AR$10,2,FALSE)),"")</f>
        <v>3</v>
      </c>
      <c r="H15" s="154" t="s">
        <v>71</v>
      </c>
      <c r="I15" s="219">
        <f aca="true" t="shared" si="1" ref="I15:I44">IF($H15&gt;0,(VLOOKUP($H15,$AQ$13:$AR$15,2,FALSE)),"")</f>
        <v>1</v>
      </c>
      <c r="J15" s="62"/>
      <c r="K15" s="222">
        <f>IF(J15&gt;0,(J15*G15*I15),"")</f>
      </c>
      <c r="L15" s="711">
        <v>0.15394</v>
      </c>
      <c r="M15" s="222">
        <f aca="true" t="shared" si="2" ref="M15:M44">IF(L15&gt;0,(L15*G15*I15),"")</f>
        <v>0.46182</v>
      </c>
      <c r="N15" s="225">
        <f>IF((E15-J15-L15)&gt;0,(E15-J15-L15),"")</f>
        <v>3.56309</v>
      </c>
      <c r="O15" s="386">
        <f>IF((D15&gt;0)*AND((E15-J15-L15)&gt;0),(N15*G15*I15),"")</f>
        <v>10.68927</v>
      </c>
      <c r="P15" s="370" t="s">
        <v>341</v>
      </c>
      <c r="Q15" s="371"/>
      <c r="R15" s="115"/>
      <c r="S15" s="115"/>
      <c r="T15" s="115"/>
      <c r="U15" s="115"/>
      <c r="V15" s="115"/>
      <c r="W15" s="115"/>
      <c r="X15" s="115"/>
      <c r="Y15" s="115"/>
      <c r="Z15" s="115"/>
      <c r="AA15" s="115"/>
      <c r="AB15" s="115"/>
      <c r="AC15" s="115"/>
      <c r="AD15" s="115"/>
      <c r="AE15" s="115"/>
      <c r="AG15" s="117"/>
      <c r="AH15" s="96" t="s">
        <v>336</v>
      </c>
      <c r="AI15" s="134" t="s">
        <v>21</v>
      </c>
      <c r="AJ15" s="97" t="s">
        <v>52</v>
      </c>
      <c r="AK15" s="98">
        <v>6</v>
      </c>
      <c r="AL15" s="97" t="s">
        <v>76</v>
      </c>
      <c r="AM15" s="98">
        <v>1.5</v>
      </c>
      <c r="AN15" s="675" t="s">
        <v>54</v>
      </c>
      <c r="AO15" s="99">
        <v>1</v>
      </c>
      <c r="AP15" s="84"/>
      <c r="AQ15" s="103" t="s">
        <v>71</v>
      </c>
      <c r="AR15" s="104">
        <v>1</v>
      </c>
      <c r="AS15" s="117"/>
      <c r="AT15" s="117"/>
      <c r="AU15" s="117"/>
      <c r="AV15" s="117"/>
      <c r="AW15" s="117"/>
      <c r="AX15" s="117"/>
      <c r="AY15" s="117"/>
      <c r="AZ15" s="117"/>
      <c r="BA15" s="117"/>
      <c r="BB15" s="117"/>
      <c r="BC15" s="117"/>
      <c r="BD15" s="117"/>
      <c r="BE15" s="117"/>
      <c r="BF15" s="117"/>
      <c r="BG15" s="117"/>
      <c r="BH15" s="117"/>
      <c r="BI15" s="117"/>
      <c r="BJ15" s="117"/>
      <c r="BK15" s="117"/>
      <c r="BL15" s="117"/>
      <c r="BM15" s="117"/>
    </row>
    <row r="16" spans="2:44" ht="13.5" thickBot="1">
      <c r="B16" s="203"/>
      <c r="C16" s="578" t="str">
        <f aca="true" t="shared" si="3" ref="C16:C44">IF($D16&gt;0,(VLOOKUP($D16,$AH$3:$AO$50,2,FALSE)),"")</f>
        <v>B6</v>
      </c>
      <c r="D16" s="579" t="s">
        <v>158</v>
      </c>
      <c r="E16" s="710">
        <v>3.85185</v>
      </c>
      <c r="F16" s="695" t="str">
        <f aca="true" t="shared" si="4" ref="F16:F44">IF($D16&gt;0,(VLOOKUP($D16,$AH$3:$AO$50,3,FALSE)),"")</f>
        <v>Medium-Low</v>
      </c>
      <c r="G16" s="217">
        <f t="shared" si="0"/>
        <v>3</v>
      </c>
      <c r="H16" s="215" t="s">
        <v>53</v>
      </c>
      <c r="I16" s="220">
        <f t="shared" si="1"/>
        <v>2</v>
      </c>
      <c r="J16" s="63"/>
      <c r="K16" s="223">
        <f aca="true" t="shared" si="5" ref="K16:K44">IF(J16&gt;0,(J16*G16*I16),"")</f>
      </c>
      <c r="L16" s="63">
        <v>1.57805</v>
      </c>
      <c r="M16" s="223">
        <f t="shared" si="2"/>
        <v>9.4683</v>
      </c>
      <c r="N16" s="226">
        <f aca="true" t="shared" si="6" ref="N16:N44">IF((E16-J16-L16)&gt;0,(E16-J16-L16),"")</f>
        <v>2.2738000000000005</v>
      </c>
      <c r="O16" s="385">
        <f aca="true" t="shared" si="7" ref="O16:O44">IF((D16&gt;0)*AND((E16-J16-L16)&gt;0),(N16*G16*I16),"")</f>
        <v>13.642800000000003</v>
      </c>
      <c r="P16" s="387" t="s">
        <v>342</v>
      </c>
      <c r="Q16" s="388"/>
      <c r="AH16" s="96" t="s">
        <v>337</v>
      </c>
      <c r="AI16" s="134" t="s">
        <v>22</v>
      </c>
      <c r="AJ16" s="97" t="s">
        <v>76</v>
      </c>
      <c r="AK16" s="98">
        <v>4</v>
      </c>
      <c r="AL16" s="97" t="s">
        <v>76</v>
      </c>
      <c r="AM16" s="98">
        <v>1.5</v>
      </c>
      <c r="AN16" s="675" t="s">
        <v>54</v>
      </c>
      <c r="AO16" s="99">
        <v>1</v>
      </c>
      <c r="AP16" s="84"/>
      <c r="AQ16" s="84"/>
      <c r="AR16" s="84"/>
    </row>
    <row r="17" spans="2:44" ht="13.5" thickBot="1">
      <c r="B17" s="203"/>
      <c r="C17" s="578" t="str">
        <f t="shared" si="3"/>
        <v>B22</v>
      </c>
      <c r="D17" s="579" t="s">
        <v>155</v>
      </c>
      <c r="E17" s="710">
        <v>6.07819</v>
      </c>
      <c r="F17" s="695" t="str">
        <f t="shared" si="4"/>
        <v>Medium</v>
      </c>
      <c r="G17" s="217">
        <f t="shared" si="0"/>
        <v>4</v>
      </c>
      <c r="H17" s="215" t="s">
        <v>71</v>
      </c>
      <c r="I17" s="220">
        <f t="shared" si="1"/>
        <v>1</v>
      </c>
      <c r="J17" s="63"/>
      <c r="K17" s="223">
        <f t="shared" si="5"/>
      </c>
      <c r="L17" s="63">
        <v>5.12378</v>
      </c>
      <c r="M17" s="223">
        <f t="shared" si="2"/>
        <v>20.49512</v>
      </c>
      <c r="N17" s="226">
        <f t="shared" si="6"/>
        <v>0.9544100000000002</v>
      </c>
      <c r="O17" s="385">
        <f t="shared" si="7"/>
        <v>3.817640000000001</v>
      </c>
      <c r="P17" s="387" t="s">
        <v>343</v>
      </c>
      <c r="Q17" s="388"/>
      <c r="AH17" s="96" t="s">
        <v>150</v>
      </c>
      <c r="AI17" s="134" t="s">
        <v>23</v>
      </c>
      <c r="AJ17" s="97" t="s">
        <v>54</v>
      </c>
      <c r="AK17" s="98">
        <v>2</v>
      </c>
      <c r="AL17" s="97" t="s">
        <v>112</v>
      </c>
      <c r="AM17" s="98" t="s">
        <v>110</v>
      </c>
      <c r="AN17" s="97" t="s">
        <v>112</v>
      </c>
      <c r="AO17" s="98" t="s">
        <v>110</v>
      </c>
      <c r="AP17" s="84"/>
      <c r="AQ17" s="108" t="s">
        <v>85</v>
      </c>
      <c r="AR17" s="109"/>
    </row>
    <row r="18" spans="2:44" ht="12.75">
      <c r="B18" s="203"/>
      <c r="C18" s="578" t="str">
        <f t="shared" si="3"/>
        <v>G1</v>
      </c>
      <c r="D18" s="579" t="s">
        <v>168</v>
      </c>
      <c r="E18" s="710">
        <v>0.02508</v>
      </c>
      <c r="F18" s="695" t="str">
        <f t="shared" si="4"/>
        <v>High</v>
      </c>
      <c r="G18" s="217">
        <f t="shared" si="0"/>
        <v>6</v>
      </c>
      <c r="H18" s="215" t="s">
        <v>53</v>
      </c>
      <c r="I18" s="220">
        <f t="shared" si="1"/>
        <v>2</v>
      </c>
      <c r="J18" s="63"/>
      <c r="K18" s="223">
        <f t="shared" si="5"/>
      </c>
      <c r="L18" s="63">
        <v>0.01203</v>
      </c>
      <c r="M18" s="223">
        <f t="shared" si="2"/>
        <v>0.14436000000000002</v>
      </c>
      <c r="N18" s="226">
        <f t="shared" si="6"/>
        <v>0.01305</v>
      </c>
      <c r="O18" s="385">
        <f t="shared" si="7"/>
        <v>0.15660000000000002</v>
      </c>
      <c r="P18" s="387" t="s">
        <v>344</v>
      </c>
      <c r="Q18" s="388"/>
      <c r="AH18" s="96" t="s">
        <v>151</v>
      </c>
      <c r="AI18" s="134" t="s">
        <v>24</v>
      </c>
      <c r="AJ18" s="97" t="s">
        <v>52</v>
      </c>
      <c r="AK18" s="98">
        <v>6</v>
      </c>
      <c r="AL18" s="97" t="s">
        <v>54</v>
      </c>
      <c r="AM18" s="98">
        <v>1</v>
      </c>
      <c r="AN18" s="675" t="s">
        <v>54</v>
      </c>
      <c r="AO18" s="99">
        <v>1</v>
      </c>
      <c r="AP18" s="84"/>
      <c r="AQ18" s="111" t="s">
        <v>86</v>
      </c>
      <c r="AR18" s="112">
        <v>1.2</v>
      </c>
    </row>
    <row r="19" spans="2:44" ht="25.5">
      <c r="B19" s="203"/>
      <c r="C19" s="578" t="str">
        <f t="shared" si="3"/>
        <v>A111</v>
      </c>
      <c r="D19" s="579" t="s">
        <v>126</v>
      </c>
      <c r="E19" s="710">
        <v>0.45871</v>
      </c>
      <c r="F19" s="695" t="str">
        <f t="shared" si="4"/>
        <v>High</v>
      </c>
      <c r="G19" s="217">
        <f t="shared" si="0"/>
        <v>6</v>
      </c>
      <c r="H19" s="215" t="s">
        <v>53</v>
      </c>
      <c r="I19" s="220">
        <f t="shared" si="1"/>
        <v>2</v>
      </c>
      <c r="J19" s="63"/>
      <c r="K19" s="223">
        <f t="shared" si="5"/>
      </c>
      <c r="L19" s="63">
        <v>0.45871</v>
      </c>
      <c r="M19" s="223">
        <f t="shared" si="2"/>
        <v>5.50452</v>
      </c>
      <c r="N19" s="226">
        <f t="shared" si="6"/>
      </c>
      <c r="O19" s="385">
        <f t="shared" si="7"/>
      </c>
      <c r="P19" s="387" t="s">
        <v>345</v>
      </c>
      <c r="Q19" s="388"/>
      <c r="AH19" s="96" t="s">
        <v>152</v>
      </c>
      <c r="AI19" s="134" t="s">
        <v>25</v>
      </c>
      <c r="AJ19" s="97" t="s">
        <v>52</v>
      </c>
      <c r="AK19" s="98">
        <v>6</v>
      </c>
      <c r="AL19" s="97" t="s">
        <v>76</v>
      </c>
      <c r="AM19" s="98">
        <v>1.5</v>
      </c>
      <c r="AN19" s="675" t="s">
        <v>54</v>
      </c>
      <c r="AO19" s="99">
        <v>1</v>
      </c>
      <c r="AP19" s="84"/>
      <c r="AQ19" s="100" t="s">
        <v>87</v>
      </c>
      <c r="AR19" s="101">
        <v>1.4</v>
      </c>
    </row>
    <row r="20" spans="2:44" ht="12.75">
      <c r="B20" s="203"/>
      <c r="C20" s="578" t="str">
        <f t="shared" si="3"/>
        <v>F1</v>
      </c>
      <c r="D20" s="579" t="s">
        <v>166</v>
      </c>
      <c r="E20" s="710">
        <v>0.09548</v>
      </c>
      <c r="F20" s="695" t="str">
        <f t="shared" si="4"/>
        <v>High</v>
      </c>
      <c r="G20" s="217">
        <f t="shared" si="0"/>
        <v>6</v>
      </c>
      <c r="H20" s="215" t="s">
        <v>71</v>
      </c>
      <c r="I20" s="220">
        <f t="shared" si="1"/>
        <v>1</v>
      </c>
      <c r="J20" s="63"/>
      <c r="K20" s="223">
        <f t="shared" si="5"/>
      </c>
      <c r="L20" s="63">
        <v>0.09548</v>
      </c>
      <c r="M20" s="223">
        <f t="shared" si="2"/>
        <v>0.57288</v>
      </c>
      <c r="N20" s="226">
        <f t="shared" si="6"/>
      </c>
      <c r="O20" s="385">
        <f t="shared" si="7"/>
      </c>
      <c r="P20" s="387" t="s">
        <v>346</v>
      </c>
      <c r="Q20" s="388"/>
      <c r="AH20" s="96" t="s">
        <v>153</v>
      </c>
      <c r="AI20" s="134" t="s">
        <v>26</v>
      </c>
      <c r="AJ20" s="97" t="s">
        <v>307</v>
      </c>
      <c r="AK20" s="98">
        <v>5</v>
      </c>
      <c r="AL20" s="97" t="s">
        <v>76</v>
      </c>
      <c r="AM20" s="98">
        <v>1.5</v>
      </c>
      <c r="AN20" s="675" t="s">
        <v>54</v>
      </c>
      <c r="AO20" s="99">
        <v>1</v>
      </c>
      <c r="AP20" s="84"/>
      <c r="AQ20" s="100" t="s">
        <v>88</v>
      </c>
      <c r="AR20" s="101">
        <v>1.7</v>
      </c>
    </row>
    <row r="21" spans="2:44" ht="12.75">
      <c r="B21" s="203"/>
      <c r="C21" s="578" t="str">
        <f t="shared" si="3"/>
        <v>C31</v>
      </c>
      <c r="D21" s="579" t="s">
        <v>189</v>
      </c>
      <c r="E21" s="710">
        <v>0.49241</v>
      </c>
      <c r="F21" s="695" t="str">
        <f t="shared" si="4"/>
        <v>Medium-Low</v>
      </c>
      <c r="G21" s="217">
        <f t="shared" si="0"/>
        <v>3</v>
      </c>
      <c r="H21" s="215" t="s">
        <v>53</v>
      </c>
      <c r="I21" s="220">
        <f t="shared" si="1"/>
        <v>2</v>
      </c>
      <c r="J21" s="63"/>
      <c r="K21" s="223">
        <f t="shared" si="5"/>
      </c>
      <c r="L21" s="63"/>
      <c r="M21" s="223">
        <f t="shared" si="2"/>
      </c>
      <c r="N21" s="226">
        <f t="shared" si="6"/>
        <v>0.49241</v>
      </c>
      <c r="O21" s="385">
        <f t="shared" si="7"/>
        <v>2.95446</v>
      </c>
      <c r="P21" s="387" t="s">
        <v>347</v>
      </c>
      <c r="Q21" s="388"/>
      <c r="AH21" s="96" t="s">
        <v>154</v>
      </c>
      <c r="AI21" s="134" t="s">
        <v>27</v>
      </c>
      <c r="AJ21" s="97" t="s">
        <v>52</v>
      </c>
      <c r="AK21" s="98">
        <v>6</v>
      </c>
      <c r="AL21" s="97" t="s">
        <v>76</v>
      </c>
      <c r="AM21" s="98">
        <v>1.5</v>
      </c>
      <c r="AN21" s="675" t="s">
        <v>54</v>
      </c>
      <c r="AO21" s="99">
        <v>1</v>
      </c>
      <c r="AP21" s="84"/>
      <c r="AQ21" s="100" t="s">
        <v>89</v>
      </c>
      <c r="AR21" s="101">
        <v>2</v>
      </c>
    </row>
    <row r="22" spans="2:44" ht="12.75">
      <c r="B22" s="203"/>
      <c r="C22" s="578" t="str">
        <f t="shared" si="3"/>
        <v>B5</v>
      </c>
      <c r="D22" s="579" t="s">
        <v>162</v>
      </c>
      <c r="E22" s="710">
        <v>0.84749</v>
      </c>
      <c r="F22" s="695" t="str">
        <f t="shared" si="4"/>
        <v>High</v>
      </c>
      <c r="G22" s="217">
        <f t="shared" si="0"/>
        <v>6</v>
      </c>
      <c r="H22" s="215" t="s">
        <v>71</v>
      </c>
      <c r="I22" s="220">
        <f t="shared" si="1"/>
        <v>1</v>
      </c>
      <c r="J22" s="63"/>
      <c r="K22" s="223">
        <f t="shared" si="5"/>
      </c>
      <c r="L22" s="63">
        <v>0.13457</v>
      </c>
      <c r="M22" s="223">
        <f t="shared" si="2"/>
        <v>0.80742</v>
      </c>
      <c r="N22" s="226">
        <f t="shared" si="6"/>
        <v>0.71292</v>
      </c>
      <c r="O22" s="385">
        <f t="shared" si="7"/>
        <v>4.27752</v>
      </c>
      <c r="P22" s="387" t="s">
        <v>348</v>
      </c>
      <c r="Q22" s="388"/>
      <c r="AH22" s="96" t="s">
        <v>155</v>
      </c>
      <c r="AI22" s="134" t="s">
        <v>28</v>
      </c>
      <c r="AJ22" s="97" t="s">
        <v>76</v>
      </c>
      <c r="AK22" s="98">
        <v>4</v>
      </c>
      <c r="AL22" s="97" t="s">
        <v>76</v>
      </c>
      <c r="AM22" s="98">
        <v>1.5</v>
      </c>
      <c r="AN22" s="675" t="s">
        <v>54</v>
      </c>
      <c r="AO22" s="99">
        <v>1</v>
      </c>
      <c r="AP22" s="84"/>
      <c r="AQ22" s="100" t="s">
        <v>90</v>
      </c>
      <c r="AR22" s="101">
        <v>2.4</v>
      </c>
    </row>
    <row r="23" spans="2:44" ht="12.75">
      <c r="B23" s="203"/>
      <c r="C23" s="578" t="str">
        <f t="shared" si="3"/>
        <v>B5</v>
      </c>
      <c r="D23" s="579" t="s">
        <v>162</v>
      </c>
      <c r="E23" s="710">
        <v>0.17075</v>
      </c>
      <c r="F23" s="695" t="str">
        <f t="shared" si="4"/>
        <v>High</v>
      </c>
      <c r="G23" s="217">
        <f t="shared" si="0"/>
        <v>6</v>
      </c>
      <c r="H23" s="215" t="s">
        <v>53</v>
      </c>
      <c r="I23" s="220">
        <f t="shared" si="1"/>
        <v>2</v>
      </c>
      <c r="J23" s="63"/>
      <c r="K23" s="223">
        <f t="shared" si="5"/>
      </c>
      <c r="L23" s="63">
        <v>0</v>
      </c>
      <c r="M23" s="223">
        <f t="shared" si="2"/>
      </c>
      <c r="N23" s="226">
        <f t="shared" si="6"/>
        <v>0.17075</v>
      </c>
      <c r="O23" s="385">
        <f t="shared" si="7"/>
        <v>2.0490000000000004</v>
      </c>
      <c r="P23" s="387" t="s">
        <v>349</v>
      </c>
      <c r="Q23" s="388"/>
      <c r="AH23" s="96" t="s">
        <v>156</v>
      </c>
      <c r="AI23" s="134" t="s">
        <v>29</v>
      </c>
      <c r="AJ23" s="97" t="s">
        <v>52</v>
      </c>
      <c r="AK23" s="98">
        <v>6</v>
      </c>
      <c r="AL23" s="97" t="s">
        <v>76</v>
      </c>
      <c r="AM23" s="98">
        <v>1.5</v>
      </c>
      <c r="AN23" s="675" t="s">
        <v>54</v>
      </c>
      <c r="AO23" s="99">
        <v>1</v>
      </c>
      <c r="AP23" s="84"/>
      <c r="AQ23" s="100" t="s">
        <v>91</v>
      </c>
      <c r="AR23" s="101">
        <v>2.8</v>
      </c>
    </row>
    <row r="24" spans="2:44" ht="13.5" thickBot="1">
      <c r="B24" s="203"/>
      <c r="C24" s="578">
        <f t="shared" si="3"/>
      </c>
      <c r="D24" s="579"/>
      <c r="E24" s="696"/>
      <c r="F24" s="695">
        <f t="shared" si="4"/>
      </c>
      <c r="G24" s="217">
        <f t="shared" si="0"/>
      </c>
      <c r="H24" s="215"/>
      <c r="I24" s="220">
        <f t="shared" si="1"/>
      </c>
      <c r="J24" s="63"/>
      <c r="K24" s="223">
        <f t="shared" si="5"/>
      </c>
      <c r="L24" s="63"/>
      <c r="M24" s="223">
        <f t="shared" si="2"/>
      </c>
      <c r="N24" s="226">
        <f t="shared" si="6"/>
      </c>
      <c r="O24" s="385">
        <f t="shared" si="7"/>
      </c>
      <c r="P24" s="387"/>
      <c r="Q24" s="388"/>
      <c r="AH24" s="96" t="s">
        <v>157</v>
      </c>
      <c r="AI24" s="134" t="s">
        <v>30</v>
      </c>
      <c r="AJ24" s="97" t="s">
        <v>307</v>
      </c>
      <c r="AK24" s="98">
        <v>5</v>
      </c>
      <c r="AL24" s="97" t="s">
        <v>76</v>
      </c>
      <c r="AM24" s="98">
        <v>1.5</v>
      </c>
      <c r="AN24" s="675" t="s">
        <v>54</v>
      </c>
      <c r="AO24" s="99">
        <v>1</v>
      </c>
      <c r="AP24" s="84"/>
      <c r="AQ24" s="103" t="s">
        <v>92</v>
      </c>
      <c r="AR24" s="104">
        <v>3</v>
      </c>
    </row>
    <row r="25" spans="2:44" ht="13.5" hidden="1" thickBot="1">
      <c r="B25" s="203"/>
      <c r="C25" s="578">
        <f t="shared" si="3"/>
      </c>
      <c r="D25" s="579"/>
      <c r="E25" s="696"/>
      <c r="F25" s="695">
        <f t="shared" si="4"/>
      </c>
      <c r="G25" s="217">
        <f t="shared" si="0"/>
      </c>
      <c r="H25" s="215"/>
      <c r="I25" s="220">
        <f t="shared" si="1"/>
      </c>
      <c r="J25" s="63"/>
      <c r="K25" s="223">
        <f t="shared" si="5"/>
      </c>
      <c r="L25" s="63"/>
      <c r="M25" s="223">
        <f t="shared" si="2"/>
      </c>
      <c r="N25" s="226">
        <f t="shared" si="6"/>
      </c>
      <c r="O25" s="385">
        <f t="shared" si="7"/>
      </c>
      <c r="P25" s="387"/>
      <c r="Q25" s="388"/>
      <c r="AH25" s="96" t="s">
        <v>158</v>
      </c>
      <c r="AI25" s="134" t="s">
        <v>33</v>
      </c>
      <c r="AJ25" s="97" t="s">
        <v>306</v>
      </c>
      <c r="AK25" s="98">
        <v>3</v>
      </c>
      <c r="AL25" s="97" t="s">
        <v>76</v>
      </c>
      <c r="AM25" s="98">
        <v>1.5</v>
      </c>
      <c r="AN25" s="675" t="s">
        <v>54</v>
      </c>
      <c r="AO25" s="99">
        <v>1</v>
      </c>
      <c r="AP25" s="84"/>
      <c r="AQ25" s="84"/>
      <c r="AR25" s="84"/>
    </row>
    <row r="26" spans="2:44" ht="13.5" hidden="1" thickBot="1">
      <c r="B26" s="203"/>
      <c r="C26" s="578">
        <f t="shared" si="3"/>
      </c>
      <c r="D26" s="579"/>
      <c r="E26" s="696"/>
      <c r="F26" s="695">
        <f t="shared" si="4"/>
      </c>
      <c r="G26" s="217">
        <f t="shared" si="0"/>
      </c>
      <c r="H26" s="215"/>
      <c r="I26" s="220">
        <f t="shared" si="1"/>
      </c>
      <c r="J26" s="63"/>
      <c r="K26" s="223">
        <f t="shared" si="5"/>
      </c>
      <c r="L26" s="63"/>
      <c r="M26" s="223">
        <f t="shared" si="2"/>
      </c>
      <c r="N26" s="226">
        <f t="shared" si="6"/>
      </c>
      <c r="O26" s="385">
        <f t="shared" si="7"/>
      </c>
      <c r="P26" s="387"/>
      <c r="Q26" s="388"/>
      <c r="AH26" s="96" t="s">
        <v>159</v>
      </c>
      <c r="AI26" s="134" t="s">
        <v>31</v>
      </c>
      <c r="AJ26" s="97" t="s">
        <v>54</v>
      </c>
      <c r="AK26" s="98">
        <v>2</v>
      </c>
      <c r="AL26" s="97" t="s">
        <v>112</v>
      </c>
      <c r="AM26" s="98" t="s">
        <v>110</v>
      </c>
      <c r="AN26" s="675" t="s">
        <v>54</v>
      </c>
      <c r="AO26" s="99">
        <v>1</v>
      </c>
      <c r="AP26" s="84"/>
      <c r="AQ26" s="108" t="s">
        <v>78</v>
      </c>
      <c r="AR26" s="109"/>
    </row>
    <row r="27" spans="2:44" ht="12.75" hidden="1">
      <c r="B27" s="203"/>
      <c r="C27" s="578">
        <f t="shared" si="3"/>
      </c>
      <c r="D27" s="579"/>
      <c r="E27" s="696"/>
      <c r="F27" s="695">
        <f t="shared" si="4"/>
      </c>
      <c r="G27" s="217">
        <f t="shared" si="0"/>
      </c>
      <c r="H27" s="215"/>
      <c r="I27" s="220">
        <f t="shared" si="1"/>
      </c>
      <c r="J27" s="63"/>
      <c r="K27" s="223">
        <f t="shared" si="5"/>
      </c>
      <c r="L27" s="63"/>
      <c r="M27" s="223">
        <f t="shared" si="2"/>
      </c>
      <c r="N27" s="226">
        <f t="shared" si="6"/>
      </c>
      <c r="O27" s="385">
        <f t="shared" si="7"/>
      </c>
      <c r="P27" s="387"/>
      <c r="Q27" s="388"/>
      <c r="AH27" s="96" t="s">
        <v>162</v>
      </c>
      <c r="AI27" s="134" t="s">
        <v>32</v>
      </c>
      <c r="AJ27" s="97" t="s">
        <v>52</v>
      </c>
      <c r="AK27" s="98">
        <v>6</v>
      </c>
      <c r="AL27" s="97" t="s">
        <v>52</v>
      </c>
      <c r="AM27" s="98">
        <v>3</v>
      </c>
      <c r="AN27" s="675" t="s">
        <v>76</v>
      </c>
      <c r="AO27" s="99">
        <v>1.5</v>
      </c>
      <c r="AP27" s="84"/>
      <c r="AQ27" s="111" t="s">
        <v>255</v>
      </c>
      <c r="AR27" s="112">
        <v>10</v>
      </c>
    </row>
    <row r="28" spans="2:44" ht="12.75" hidden="1">
      <c r="B28" s="203"/>
      <c r="C28" s="578">
        <f t="shared" si="3"/>
      </c>
      <c r="D28" s="579"/>
      <c r="E28" s="696"/>
      <c r="F28" s="695">
        <f t="shared" si="4"/>
      </c>
      <c r="G28" s="217">
        <f t="shared" si="0"/>
      </c>
      <c r="H28" s="215"/>
      <c r="I28" s="220">
        <f t="shared" si="1"/>
      </c>
      <c r="J28" s="63"/>
      <c r="K28" s="223">
        <f t="shared" si="5"/>
      </c>
      <c r="L28" s="63"/>
      <c r="M28" s="223">
        <f t="shared" si="2"/>
      </c>
      <c r="N28" s="226">
        <f t="shared" si="6"/>
      </c>
      <c r="O28" s="385">
        <f t="shared" si="7"/>
      </c>
      <c r="P28" s="387"/>
      <c r="Q28" s="388"/>
      <c r="AH28" s="96" t="s">
        <v>210</v>
      </c>
      <c r="AI28" s="134" t="s">
        <v>37</v>
      </c>
      <c r="AJ28" s="97" t="s">
        <v>52</v>
      </c>
      <c r="AK28" s="98">
        <v>6</v>
      </c>
      <c r="AL28" s="97" t="s">
        <v>76</v>
      </c>
      <c r="AM28" s="98">
        <v>1.5</v>
      </c>
      <c r="AN28" s="675" t="s">
        <v>76</v>
      </c>
      <c r="AO28" s="99">
        <v>1.5</v>
      </c>
      <c r="AP28" s="84"/>
      <c r="AQ28" s="100" t="s">
        <v>52</v>
      </c>
      <c r="AR28" s="101">
        <v>3</v>
      </c>
    </row>
    <row r="29" spans="2:44" ht="12.75" hidden="1">
      <c r="B29" s="203"/>
      <c r="C29" s="578">
        <f t="shared" si="3"/>
      </c>
      <c r="D29" s="579"/>
      <c r="E29" s="696"/>
      <c r="F29" s="695">
        <f t="shared" si="4"/>
      </c>
      <c r="G29" s="217">
        <f t="shared" si="0"/>
      </c>
      <c r="H29" s="215"/>
      <c r="I29" s="220">
        <f t="shared" si="1"/>
      </c>
      <c r="J29" s="63"/>
      <c r="K29" s="223">
        <f t="shared" si="5"/>
      </c>
      <c r="L29" s="63"/>
      <c r="M29" s="223">
        <f t="shared" si="2"/>
      </c>
      <c r="N29" s="226">
        <f t="shared" si="6"/>
      </c>
      <c r="O29" s="385">
        <f t="shared" si="7"/>
      </c>
      <c r="P29" s="387"/>
      <c r="Q29" s="388"/>
      <c r="AH29" s="96" t="s">
        <v>161</v>
      </c>
      <c r="AI29" s="134" t="s">
        <v>50</v>
      </c>
      <c r="AJ29" s="97" t="s">
        <v>52</v>
      </c>
      <c r="AK29" s="98">
        <v>6</v>
      </c>
      <c r="AL29" s="97" t="s">
        <v>54</v>
      </c>
      <c r="AM29" s="98">
        <v>1</v>
      </c>
      <c r="AN29" s="97" t="s">
        <v>54</v>
      </c>
      <c r="AO29" s="98">
        <v>1</v>
      </c>
      <c r="AP29" s="84"/>
      <c r="AQ29" s="100" t="s">
        <v>76</v>
      </c>
      <c r="AR29" s="101">
        <v>1.5</v>
      </c>
    </row>
    <row r="30" spans="2:44" ht="12.75" hidden="1">
      <c r="B30" s="203"/>
      <c r="C30" s="578">
        <f t="shared" si="3"/>
      </c>
      <c r="D30" s="579"/>
      <c r="E30" s="696"/>
      <c r="F30" s="695">
        <f t="shared" si="4"/>
      </c>
      <c r="G30" s="217">
        <f t="shared" si="0"/>
      </c>
      <c r="H30" s="215"/>
      <c r="I30" s="220">
        <f t="shared" si="1"/>
      </c>
      <c r="J30" s="63"/>
      <c r="K30" s="223">
        <f t="shared" si="5"/>
      </c>
      <c r="L30" s="63"/>
      <c r="M30" s="223">
        <f t="shared" si="2"/>
      </c>
      <c r="N30" s="226">
        <f t="shared" si="6"/>
      </c>
      <c r="O30" s="385">
        <f t="shared" si="7"/>
      </c>
      <c r="P30" s="387"/>
      <c r="Q30" s="388"/>
      <c r="AH30" s="96" t="s">
        <v>160</v>
      </c>
      <c r="AI30" s="134" t="s">
        <v>51</v>
      </c>
      <c r="AJ30" s="97" t="s">
        <v>54</v>
      </c>
      <c r="AK30" s="98">
        <v>2</v>
      </c>
      <c r="AL30" s="97" t="s">
        <v>54</v>
      </c>
      <c r="AM30" s="98">
        <v>1</v>
      </c>
      <c r="AN30" s="97" t="s">
        <v>54</v>
      </c>
      <c r="AO30" s="98">
        <v>1</v>
      </c>
      <c r="AP30" s="84"/>
      <c r="AQ30" s="100" t="s">
        <v>54</v>
      </c>
      <c r="AR30" s="101">
        <v>1</v>
      </c>
    </row>
    <row r="31" spans="2:44" ht="13.5" hidden="1" thickBot="1">
      <c r="B31" s="203"/>
      <c r="C31" s="578">
        <f t="shared" si="3"/>
      </c>
      <c r="D31" s="579"/>
      <c r="E31" s="696"/>
      <c r="F31" s="695">
        <f t="shared" si="4"/>
      </c>
      <c r="G31" s="217">
        <f t="shared" si="0"/>
      </c>
      <c r="H31" s="215"/>
      <c r="I31" s="220">
        <f t="shared" si="1"/>
      </c>
      <c r="J31" s="63"/>
      <c r="K31" s="223">
        <f t="shared" si="5"/>
      </c>
      <c r="L31" s="63"/>
      <c r="M31" s="223">
        <f t="shared" si="2"/>
      </c>
      <c r="N31" s="226">
        <f t="shared" si="6"/>
      </c>
      <c r="O31" s="385">
        <f t="shared" si="7"/>
      </c>
      <c r="P31" s="387"/>
      <c r="Q31" s="388"/>
      <c r="AH31" s="96" t="s">
        <v>168</v>
      </c>
      <c r="AI31" s="134" t="s">
        <v>43</v>
      </c>
      <c r="AJ31" s="97" t="s">
        <v>52</v>
      </c>
      <c r="AK31" s="98">
        <v>6</v>
      </c>
      <c r="AL31" s="97" t="s">
        <v>76</v>
      </c>
      <c r="AM31" s="98">
        <v>1.5</v>
      </c>
      <c r="AN31" s="675" t="s">
        <v>76</v>
      </c>
      <c r="AO31" s="99">
        <v>1.5</v>
      </c>
      <c r="AP31" s="84"/>
      <c r="AQ31" s="103" t="s">
        <v>112</v>
      </c>
      <c r="AR31" s="104">
        <v>0</v>
      </c>
    </row>
    <row r="32" spans="2:42" ht="12.75" hidden="1">
      <c r="B32" s="203"/>
      <c r="C32" s="578">
        <f t="shared" si="3"/>
      </c>
      <c r="D32" s="579"/>
      <c r="E32" s="696"/>
      <c r="F32" s="695">
        <f t="shared" si="4"/>
      </c>
      <c r="G32" s="217">
        <f t="shared" si="0"/>
      </c>
      <c r="H32" s="215"/>
      <c r="I32" s="220">
        <f t="shared" si="1"/>
      </c>
      <c r="J32" s="63"/>
      <c r="K32" s="223">
        <f t="shared" si="5"/>
      </c>
      <c r="L32" s="63"/>
      <c r="M32" s="223">
        <f t="shared" si="2"/>
      </c>
      <c r="N32" s="226">
        <f t="shared" si="6"/>
      </c>
      <c r="O32" s="385">
        <f t="shared" si="7"/>
      </c>
      <c r="P32" s="387"/>
      <c r="Q32" s="388"/>
      <c r="AH32" s="96" t="s">
        <v>169</v>
      </c>
      <c r="AI32" s="134" t="s">
        <v>44</v>
      </c>
      <c r="AJ32" s="97" t="s">
        <v>52</v>
      </c>
      <c r="AK32" s="98">
        <v>6</v>
      </c>
      <c r="AL32" s="97" t="s">
        <v>76</v>
      </c>
      <c r="AM32" s="98">
        <v>1.5</v>
      </c>
      <c r="AN32" s="675" t="s">
        <v>76</v>
      </c>
      <c r="AO32" s="99">
        <v>1.5</v>
      </c>
      <c r="AP32" s="84"/>
    </row>
    <row r="33" spans="2:42" ht="12.75" hidden="1">
      <c r="B33" s="203"/>
      <c r="C33" s="578">
        <f t="shared" si="3"/>
      </c>
      <c r="D33" s="579"/>
      <c r="E33" s="696"/>
      <c r="F33" s="695">
        <f t="shared" si="4"/>
      </c>
      <c r="G33" s="217">
        <f t="shared" si="0"/>
      </c>
      <c r="H33" s="215"/>
      <c r="I33" s="220">
        <f t="shared" si="1"/>
      </c>
      <c r="J33" s="63"/>
      <c r="K33" s="223">
        <f t="shared" si="5"/>
      </c>
      <c r="L33" s="63"/>
      <c r="M33" s="223">
        <f t="shared" si="2"/>
      </c>
      <c r="N33" s="226">
        <f t="shared" si="6"/>
      </c>
      <c r="O33" s="385">
        <f t="shared" si="7"/>
      </c>
      <c r="P33" s="387"/>
      <c r="Q33" s="388"/>
      <c r="AH33" s="96" t="s">
        <v>170</v>
      </c>
      <c r="AI33" s="134" t="s">
        <v>112</v>
      </c>
      <c r="AJ33" s="97" t="s">
        <v>52</v>
      </c>
      <c r="AK33" s="98">
        <v>6</v>
      </c>
      <c r="AL33" s="97" t="s">
        <v>124</v>
      </c>
      <c r="AM33" s="98">
        <v>1</v>
      </c>
      <c r="AN33" s="97" t="s">
        <v>124</v>
      </c>
      <c r="AO33" s="98">
        <v>1</v>
      </c>
      <c r="AP33" s="84"/>
    </row>
    <row r="34" spans="2:42" ht="12.75" hidden="1">
      <c r="B34" s="203"/>
      <c r="C34" s="578">
        <f t="shared" si="3"/>
      </c>
      <c r="D34" s="579"/>
      <c r="E34" s="696"/>
      <c r="F34" s="695">
        <f t="shared" si="4"/>
      </c>
      <c r="G34" s="217">
        <f t="shared" si="0"/>
      </c>
      <c r="H34" s="215"/>
      <c r="I34" s="220">
        <f t="shared" si="1"/>
      </c>
      <c r="J34" s="63"/>
      <c r="K34" s="223">
        <f t="shared" si="5"/>
      </c>
      <c r="L34" s="63"/>
      <c r="M34" s="223">
        <f t="shared" si="2"/>
      </c>
      <c r="N34" s="226">
        <f t="shared" si="6"/>
      </c>
      <c r="O34" s="385">
        <f t="shared" si="7"/>
      </c>
      <c r="P34" s="387"/>
      <c r="Q34" s="388"/>
      <c r="AH34" s="96" t="s">
        <v>163</v>
      </c>
      <c r="AI34" s="134" t="s">
        <v>38</v>
      </c>
      <c r="AJ34" s="97" t="s">
        <v>52</v>
      </c>
      <c r="AK34" s="98">
        <v>6</v>
      </c>
      <c r="AL34" s="97" t="s">
        <v>77</v>
      </c>
      <c r="AM34" s="98">
        <v>10</v>
      </c>
      <c r="AN34" s="675" t="s">
        <v>52</v>
      </c>
      <c r="AO34" s="99">
        <v>3</v>
      </c>
      <c r="AP34" s="84"/>
    </row>
    <row r="35" spans="2:42" ht="12.75" hidden="1">
      <c r="B35" s="203"/>
      <c r="C35" s="578">
        <f t="shared" si="3"/>
      </c>
      <c r="D35" s="579"/>
      <c r="E35" s="696"/>
      <c r="F35" s="695">
        <f t="shared" si="4"/>
      </c>
      <c r="G35" s="217">
        <f t="shared" si="0"/>
      </c>
      <c r="H35" s="215"/>
      <c r="I35" s="220">
        <f t="shared" si="1"/>
      </c>
      <c r="J35" s="63"/>
      <c r="K35" s="223">
        <f t="shared" si="5"/>
      </c>
      <c r="L35" s="63"/>
      <c r="M35" s="223">
        <f t="shared" si="2"/>
      </c>
      <c r="N35" s="226">
        <f t="shared" si="6"/>
      </c>
      <c r="O35" s="385">
        <f t="shared" si="7"/>
      </c>
      <c r="P35" s="387"/>
      <c r="Q35" s="388"/>
      <c r="AH35" s="96" t="s">
        <v>164</v>
      </c>
      <c r="AI35" s="134" t="s">
        <v>39</v>
      </c>
      <c r="AJ35" s="97" t="s">
        <v>52</v>
      </c>
      <c r="AK35" s="98">
        <v>6</v>
      </c>
      <c r="AL35" s="97" t="s">
        <v>52</v>
      </c>
      <c r="AM35" s="98">
        <v>3</v>
      </c>
      <c r="AN35" s="675" t="s">
        <v>76</v>
      </c>
      <c r="AO35" s="99">
        <v>1.5</v>
      </c>
      <c r="AP35" s="84"/>
    </row>
    <row r="36" spans="2:42" ht="12.75" hidden="1">
      <c r="B36" s="203"/>
      <c r="C36" s="578">
        <f t="shared" si="3"/>
      </c>
      <c r="D36" s="579"/>
      <c r="E36" s="696"/>
      <c r="F36" s="695">
        <f t="shared" si="4"/>
      </c>
      <c r="G36" s="217">
        <f t="shared" si="0"/>
      </c>
      <c r="H36" s="215"/>
      <c r="I36" s="220">
        <f t="shared" si="1"/>
      </c>
      <c r="J36" s="63"/>
      <c r="K36" s="223">
        <f t="shared" si="5"/>
      </c>
      <c r="L36" s="63"/>
      <c r="M36" s="223">
        <f t="shared" si="2"/>
      </c>
      <c r="N36" s="226">
        <f t="shared" si="6"/>
      </c>
      <c r="O36" s="385">
        <f>IF((D36&gt;0)*AND((E36-J36-L36)&gt;0),(N36*G36*I36),"")</f>
      </c>
      <c r="P36" s="387"/>
      <c r="Q36" s="388"/>
      <c r="AH36" s="96" t="s">
        <v>165</v>
      </c>
      <c r="AI36" s="134" t="s">
        <v>40</v>
      </c>
      <c r="AJ36" s="97" t="s">
        <v>52</v>
      </c>
      <c r="AK36" s="98">
        <v>6</v>
      </c>
      <c r="AL36" s="97" t="s">
        <v>52</v>
      </c>
      <c r="AM36" s="98">
        <v>3</v>
      </c>
      <c r="AN36" s="675" t="s">
        <v>76</v>
      </c>
      <c r="AO36" s="99">
        <v>1.5</v>
      </c>
      <c r="AP36" s="84"/>
    </row>
    <row r="37" spans="2:42" ht="12.75" hidden="1">
      <c r="B37" s="203"/>
      <c r="C37" s="578">
        <f t="shared" si="3"/>
      </c>
      <c r="D37" s="579"/>
      <c r="E37" s="696"/>
      <c r="F37" s="695">
        <f t="shared" si="4"/>
      </c>
      <c r="G37" s="217">
        <f t="shared" si="0"/>
      </c>
      <c r="H37" s="215"/>
      <c r="I37" s="220">
        <f t="shared" si="1"/>
      </c>
      <c r="J37" s="63"/>
      <c r="K37" s="223">
        <f t="shared" si="5"/>
      </c>
      <c r="L37" s="63"/>
      <c r="M37" s="223">
        <f t="shared" si="2"/>
      </c>
      <c r="N37" s="226">
        <f t="shared" si="6"/>
      </c>
      <c r="O37" s="385">
        <f t="shared" si="7"/>
      </c>
      <c r="P37" s="387"/>
      <c r="Q37" s="388"/>
      <c r="AH37" s="96" t="s">
        <v>166</v>
      </c>
      <c r="AI37" s="134" t="s">
        <v>41</v>
      </c>
      <c r="AJ37" s="97" t="s">
        <v>52</v>
      </c>
      <c r="AK37" s="98">
        <v>6</v>
      </c>
      <c r="AL37" s="97" t="s">
        <v>52</v>
      </c>
      <c r="AM37" s="98">
        <v>3</v>
      </c>
      <c r="AN37" s="675" t="s">
        <v>76</v>
      </c>
      <c r="AO37" s="99">
        <v>1.5</v>
      </c>
      <c r="AP37" s="84"/>
    </row>
    <row r="38" spans="2:44" ht="12.75" hidden="1">
      <c r="B38" s="203"/>
      <c r="C38" s="578">
        <f t="shared" si="3"/>
      </c>
      <c r="D38" s="579"/>
      <c r="E38" s="696"/>
      <c r="F38" s="695">
        <f t="shared" si="4"/>
      </c>
      <c r="G38" s="217">
        <f t="shared" si="0"/>
      </c>
      <c r="H38" s="215"/>
      <c r="I38" s="220">
        <f t="shared" si="1"/>
      </c>
      <c r="J38" s="63"/>
      <c r="K38" s="223">
        <f t="shared" si="5"/>
      </c>
      <c r="L38" s="63"/>
      <c r="M38" s="223">
        <f t="shared" si="2"/>
      </c>
      <c r="N38" s="226">
        <f t="shared" si="6"/>
      </c>
      <c r="O38" s="385">
        <f t="shared" si="7"/>
      </c>
      <c r="P38" s="387"/>
      <c r="Q38" s="388"/>
      <c r="AH38" s="96" t="s">
        <v>167</v>
      </c>
      <c r="AI38" s="134" t="s">
        <v>42</v>
      </c>
      <c r="AJ38" s="97" t="s">
        <v>52</v>
      </c>
      <c r="AK38" s="98">
        <v>6</v>
      </c>
      <c r="AL38" s="97" t="s">
        <v>54</v>
      </c>
      <c r="AM38" s="98">
        <v>1</v>
      </c>
      <c r="AN38" s="675" t="s">
        <v>54</v>
      </c>
      <c r="AO38" s="99">
        <v>1</v>
      </c>
      <c r="AP38" s="84"/>
      <c r="AQ38" s="84"/>
      <c r="AR38" s="84"/>
    </row>
    <row r="39" spans="2:44" ht="12.75" hidden="1">
      <c r="B39" s="203"/>
      <c r="C39" s="578">
        <f t="shared" si="3"/>
      </c>
      <c r="D39" s="579"/>
      <c r="E39" s="696"/>
      <c r="F39" s="695">
        <f t="shared" si="4"/>
      </c>
      <c r="G39" s="217">
        <f t="shared" si="0"/>
      </c>
      <c r="H39" s="215"/>
      <c r="I39" s="220">
        <f t="shared" si="1"/>
      </c>
      <c r="J39" s="63"/>
      <c r="K39" s="223">
        <f t="shared" si="5"/>
      </c>
      <c r="L39" s="63"/>
      <c r="M39" s="223">
        <f t="shared" si="2"/>
      </c>
      <c r="N39" s="226">
        <f t="shared" si="6"/>
      </c>
      <c r="O39" s="385">
        <f t="shared" si="7"/>
      </c>
      <c r="P39" s="387"/>
      <c r="Q39" s="388"/>
      <c r="AH39" s="96" t="s">
        <v>136</v>
      </c>
      <c r="AI39" s="134" t="s">
        <v>48</v>
      </c>
      <c r="AJ39" s="97" t="s">
        <v>54</v>
      </c>
      <c r="AK39" s="98">
        <v>2</v>
      </c>
      <c r="AL39" s="97" t="s">
        <v>112</v>
      </c>
      <c r="AM39" s="98" t="s">
        <v>110</v>
      </c>
      <c r="AN39" s="97" t="s">
        <v>112</v>
      </c>
      <c r="AO39" s="98" t="s">
        <v>110</v>
      </c>
      <c r="AP39" s="84"/>
      <c r="AQ39" s="84"/>
      <c r="AR39" s="84"/>
    </row>
    <row r="40" spans="2:44" ht="12.75" hidden="1">
      <c r="B40" s="203"/>
      <c r="C40" s="578">
        <f t="shared" si="3"/>
      </c>
      <c r="D40" s="579"/>
      <c r="E40" s="696"/>
      <c r="F40" s="695">
        <f t="shared" si="4"/>
      </c>
      <c r="G40" s="217">
        <f t="shared" si="0"/>
      </c>
      <c r="H40" s="215"/>
      <c r="I40" s="220">
        <f t="shared" si="1"/>
      </c>
      <c r="J40" s="63"/>
      <c r="K40" s="223">
        <f t="shared" si="5"/>
      </c>
      <c r="L40" s="63"/>
      <c r="M40" s="223">
        <f t="shared" si="2"/>
      </c>
      <c r="N40" s="226">
        <f t="shared" si="6"/>
      </c>
      <c r="O40" s="385">
        <f t="shared" si="7"/>
      </c>
      <c r="P40" s="387"/>
      <c r="Q40" s="388"/>
      <c r="AH40" s="96" t="s">
        <v>188</v>
      </c>
      <c r="AI40" s="134" t="s">
        <v>34</v>
      </c>
      <c r="AJ40" s="97" t="s">
        <v>54</v>
      </c>
      <c r="AK40" s="98">
        <v>2</v>
      </c>
      <c r="AL40" s="97" t="s">
        <v>54</v>
      </c>
      <c r="AM40" s="98">
        <v>1</v>
      </c>
      <c r="AN40" s="675" t="s">
        <v>54</v>
      </c>
      <c r="AO40" s="99">
        <v>1</v>
      </c>
      <c r="AP40" s="84"/>
      <c r="AQ40" s="84"/>
      <c r="AR40" s="84"/>
    </row>
    <row r="41" spans="2:44" ht="12.75" hidden="1">
      <c r="B41" s="203"/>
      <c r="C41" s="578">
        <f t="shared" si="3"/>
      </c>
      <c r="D41" s="579"/>
      <c r="E41" s="696"/>
      <c r="F41" s="695">
        <f t="shared" si="4"/>
      </c>
      <c r="G41" s="217">
        <f t="shared" si="0"/>
      </c>
      <c r="H41" s="215"/>
      <c r="I41" s="220">
        <f t="shared" si="1"/>
      </c>
      <c r="J41" s="63"/>
      <c r="K41" s="223">
        <f t="shared" si="5"/>
      </c>
      <c r="L41" s="63"/>
      <c r="M41" s="223">
        <f t="shared" si="2"/>
      </c>
      <c r="N41" s="226">
        <f t="shared" si="6"/>
      </c>
      <c r="O41" s="385">
        <f t="shared" si="7"/>
      </c>
      <c r="P41" s="387"/>
      <c r="Q41" s="388"/>
      <c r="AH41" s="96" t="s">
        <v>189</v>
      </c>
      <c r="AI41" s="134" t="s">
        <v>35</v>
      </c>
      <c r="AJ41" s="97" t="s">
        <v>306</v>
      </c>
      <c r="AK41" s="98">
        <v>3</v>
      </c>
      <c r="AL41" s="97" t="s">
        <v>54</v>
      </c>
      <c r="AM41" s="98">
        <v>1</v>
      </c>
      <c r="AN41" s="675" t="s">
        <v>54</v>
      </c>
      <c r="AO41" s="99">
        <v>1</v>
      </c>
      <c r="AP41" s="84"/>
      <c r="AQ41" s="84"/>
      <c r="AR41" s="84"/>
    </row>
    <row r="42" spans="2:44" ht="12.75" hidden="1">
      <c r="B42" s="203"/>
      <c r="C42" s="578">
        <f t="shared" si="3"/>
      </c>
      <c r="D42" s="579"/>
      <c r="E42" s="696"/>
      <c r="F42" s="695">
        <f t="shared" si="4"/>
      </c>
      <c r="G42" s="217">
        <f t="shared" si="0"/>
      </c>
      <c r="H42" s="215"/>
      <c r="I42" s="220">
        <f t="shared" si="1"/>
      </c>
      <c r="J42" s="63"/>
      <c r="K42" s="223">
        <f t="shared" si="5"/>
      </c>
      <c r="L42" s="63"/>
      <c r="M42" s="223">
        <f t="shared" si="2"/>
      </c>
      <c r="N42" s="226">
        <f t="shared" si="6"/>
      </c>
      <c r="O42" s="385">
        <f t="shared" si="7"/>
      </c>
      <c r="P42" s="387"/>
      <c r="Q42" s="388"/>
      <c r="AH42" s="96" t="s">
        <v>190</v>
      </c>
      <c r="AI42" s="134" t="s">
        <v>36</v>
      </c>
      <c r="AJ42" s="97" t="s">
        <v>76</v>
      </c>
      <c r="AK42" s="98">
        <v>4</v>
      </c>
      <c r="AL42" s="97" t="s">
        <v>54</v>
      </c>
      <c r="AM42" s="98">
        <v>1</v>
      </c>
      <c r="AN42" s="675" t="s">
        <v>54</v>
      </c>
      <c r="AO42" s="99">
        <v>1</v>
      </c>
      <c r="AP42" s="84"/>
      <c r="AQ42" s="84"/>
      <c r="AR42" s="84"/>
    </row>
    <row r="43" spans="2:44" ht="12.75" hidden="1">
      <c r="B43" s="203"/>
      <c r="C43" s="578">
        <f t="shared" si="3"/>
      </c>
      <c r="D43" s="579"/>
      <c r="E43" s="696"/>
      <c r="F43" s="695">
        <f t="shared" si="4"/>
      </c>
      <c r="G43" s="217">
        <f t="shared" si="0"/>
      </c>
      <c r="H43" s="215"/>
      <c r="I43" s="220">
        <f t="shared" si="1"/>
      </c>
      <c r="J43" s="63"/>
      <c r="K43" s="223">
        <f t="shared" si="5"/>
      </c>
      <c r="L43" s="63"/>
      <c r="M43" s="223">
        <f t="shared" si="2"/>
      </c>
      <c r="N43" s="226">
        <f t="shared" si="6"/>
      </c>
      <c r="O43" s="385">
        <f t="shared" si="7"/>
      </c>
      <c r="P43" s="387"/>
      <c r="Q43" s="388"/>
      <c r="AH43" s="96" t="s">
        <v>138</v>
      </c>
      <c r="AI43" s="134" t="s">
        <v>55</v>
      </c>
      <c r="AJ43" s="97" t="s">
        <v>54</v>
      </c>
      <c r="AK43" s="98">
        <v>2</v>
      </c>
      <c r="AL43" s="97" t="s">
        <v>54</v>
      </c>
      <c r="AM43" s="98">
        <v>1</v>
      </c>
      <c r="AN43" s="97" t="s">
        <v>54</v>
      </c>
      <c r="AO43" s="98">
        <v>1</v>
      </c>
      <c r="AP43" s="84"/>
      <c r="AQ43" s="84"/>
      <c r="AR43" s="84"/>
    </row>
    <row r="44" spans="2:44" ht="13.5" hidden="1" thickBot="1">
      <c r="B44" s="552"/>
      <c r="C44" s="580">
        <f t="shared" si="3"/>
      </c>
      <c r="D44" s="581"/>
      <c r="E44" s="697"/>
      <c r="F44" s="699">
        <f t="shared" si="4"/>
      </c>
      <c r="G44" s="218">
        <f t="shared" si="0"/>
      </c>
      <c r="H44" s="216"/>
      <c r="I44" s="221">
        <f t="shared" si="1"/>
      </c>
      <c r="J44" s="64"/>
      <c r="K44" s="224">
        <f t="shared" si="5"/>
      </c>
      <c r="L44" s="64"/>
      <c r="M44" s="224">
        <f t="shared" si="2"/>
      </c>
      <c r="N44" s="227">
        <f t="shared" si="6"/>
      </c>
      <c r="O44" s="384">
        <f t="shared" si="7"/>
      </c>
      <c r="P44" s="389"/>
      <c r="Q44" s="390"/>
      <c r="AH44" s="96" t="s">
        <v>137</v>
      </c>
      <c r="AI44" s="134" t="s">
        <v>49</v>
      </c>
      <c r="AJ44" s="97" t="s">
        <v>54</v>
      </c>
      <c r="AK44" s="98">
        <v>2</v>
      </c>
      <c r="AL44" s="97" t="s">
        <v>54</v>
      </c>
      <c r="AM44" s="98">
        <v>1</v>
      </c>
      <c r="AN44" s="675" t="s">
        <v>54</v>
      </c>
      <c r="AO44" s="99">
        <v>1</v>
      </c>
      <c r="AP44" s="84"/>
      <c r="AQ44" s="84"/>
      <c r="AR44" s="84"/>
    </row>
    <row r="45" spans="2:65" s="77" customFormat="1" ht="13.5" thickBot="1">
      <c r="B45" s="485"/>
      <c r="C45" s="498"/>
      <c r="D45" s="553" t="s">
        <v>111</v>
      </c>
      <c r="E45" s="582">
        <f>SUM(E15:E44)</f>
        <v>15.73699</v>
      </c>
      <c r="F45" s="512"/>
      <c r="G45" s="512"/>
      <c r="H45" s="511"/>
      <c r="I45" s="553" t="s">
        <v>111</v>
      </c>
      <c r="J45" s="583">
        <f aca="true" t="shared" si="8" ref="J45:O45">SUM(J15:J44)</f>
        <v>0</v>
      </c>
      <c r="K45" s="584">
        <f t="shared" si="8"/>
        <v>0</v>
      </c>
      <c r="L45" s="585">
        <f t="shared" si="8"/>
        <v>7.55656</v>
      </c>
      <c r="M45" s="586">
        <f t="shared" si="8"/>
        <v>37.45442</v>
      </c>
      <c r="N45" s="587">
        <f t="shared" si="8"/>
        <v>8.180430000000001</v>
      </c>
      <c r="O45" s="587">
        <f t="shared" si="8"/>
        <v>37.58729</v>
      </c>
      <c r="P45" s="375" t="s">
        <v>93</v>
      </c>
      <c r="Q45" s="376"/>
      <c r="AG45" s="80"/>
      <c r="AH45" s="96" t="s">
        <v>330</v>
      </c>
      <c r="AI45" s="134" t="s">
        <v>45</v>
      </c>
      <c r="AJ45" s="97" t="s">
        <v>54</v>
      </c>
      <c r="AK45" s="98">
        <v>2</v>
      </c>
      <c r="AL45" s="97" t="s">
        <v>54</v>
      </c>
      <c r="AM45" s="98">
        <v>1</v>
      </c>
      <c r="AN45" s="675" t="s">
        <v>54</v>
      </c>
      <c r="AO45" s="99">
        <v>1</v>
      </c>
      <c r="AP45" s="84"/>
      <c r="AQ45" s="84"/>
      <c r="AR45" s="84"/>
      <c r="AS45" s="80"/>
      <c r="AT45" s="80"/>
      <c r="AU45" s="80"/>
      <c r="AV45" s="80"/>
      <c r="AW45" s="80"/>
      <c r="AX45" s="80"/>
      <c r="AY45" s="80"/>
      <c r="AZ45" s="80"/>
      <c r="BA45" s="80"/>
      <c r="BB45" s="80"/>
      <c r="BC45" s="80"/>
      <c r="BD45" s="80"/>
      <c r="BE45" s="80"/>
      <c r="BF45" s="80"/>
      <c r="BG45" s="80"/>
      <c r="BH45" s="80"/>
      <c r="BI45" s="80"/>
      <c r="BJ45" s="80"/>
      <c r="BK45" s="80"/>
      <c r="BL45" s="80"/>
      <c r="BM45" s="80"/>
    </row>
    <row r="46" spans="2:65" s="77" customFormat="1" ht="13.5" thickBot="1">
      <c r="B46" s="485"/>
      <c r="C46" s="498"/>
      <c r="D46" s="509"/>
      <c r="E46" s="510"/>
      <c r="F46" s="511"/>
      <c r="G46" s="512"/>
      <c r="H46" s="511"/>
      <c r="I46" s="512"/>
      <c r="J46" s="511"/>
      <c r="K46" s="512"/>
      <c r="L46" s="513"/>
      <c r="M46" s="514"/>
      <c r="N46" s="514"/>
      <c r="O46" s="588" t="s">
        <v>194</v>
      </c>
      <c r="P46" s="375"/>
      <c r="Q46" s="376"/>
      <c r="AG46" s="80"/>
      <c r="AH46" s="96" t="s">
        <v>134</v>
      </c>
      <c r="AI46" s="134" t="s">
        <v>46</v>
      </c>
      <c r="AJ46" s="97" t="s">
        <v>54</v>
      </c>
      <c r="AK46" s="98">
        <v>2</v>
      </c>
      <c r="AL46" s="97" t="s">
        <v>54</v>
      </c>
      <c r="AM46" s="98">
        <v>1</v>
      </c>
      <c r="AN46" s="97" t="s">
        <v>54</v>
      </c>
      <c r="AO46" s="98">
        <v>1</v>
      </c>
      <c r="AP46" s="84"/>
      <c r="AQ46" s="84"/>
      <c r="AR46" s="84"/>
      <c r="AS46" s="80"/>
      <c r="AT46" s="80"/>
      <c r="AU46" s="80"/>
      <c r="AV46" s="80"/>
      <c r="AW46" s="80"/>
      <c r="AX46" s="80"/>
      <c r="AY46" s="80"/>
      <c r="AZ46" s="80"/>
      <c r="BA46" s="80"/>
      <c r="BB46" s="80"/>
      <c r="BC46" s="80"/>
      <c r="BD46" s="80"/>
      <c r="BE46" s="80"/>
      <c r="BF46" s="80"/>
      <c r="BG46" s="80"/>
      <c r="BH46" s="80"/>
      <c r="BI46" s="80"/>
      <c r="BJ46" s="80"/>
      <c r="BK46" s="80"/>
      <c r="BL46" s="80"/>
      <c r="BM46" s="80"/>
    </row>
    <row r="47" spans="2:65" s="77" customFormat="1" ht="13.5" thickBot="1">
      <c r="B47" s="485"/>
      <c r="C47" s="498"/>
      <c r="D47" s="516"/>
      <c r="E47" s="517"/>
      <c r="F47" s="518"/>
      <c r="G47" s="517"/>
      <c r="H47" s="518"/>
      <c r="I47" s="517"/>
      <c r="J47" s="518"/>
      <c r="K47" s="517"/>
      <c r="L47" s="513"/>
      <c r="M47" s="784" t="s">
        <v>246</v>
      </c>
      <c r="N47" s="785"/>
      <c r="O47" s="589">
        <f>K45+M45+O45</f>
        <v>75.04171</v>
      </c>
      <c r="P47" s="375"/>
      <c r="Q47" s="376"/>
      <c r="AG47" s="80"/>
      <c r="AH47" s="96" t="s">
        <v>135</v>
      </c>
      <c r="AI47" s="134" t="s">
        <v>47</v>
      </c>
      <c r="AJ47" s="97" t="s">
        <v>54</v>
      </c>
      <c r="AK47" s="98">
        <v>2</v>
      </c>
      <c r="AL47" s="97" t="s">
        <v>54</v>
      </c>
      <c r="AM47" s="98">
        <v>1</v>
      </c>
      <c r="AN47" s="675" t="s">
        <v>54</v>
      </c>
      <c r="AO47" s="99">
        <v>1</v>
      </c>
      <c r="AP47" s="84"/>
      <c r="AQ47" s="84"/>
      <c r="AR47" s="84"/>
      <c r="AS47" s="80"/>
      <c r="AT47" s="80"/>
      <c r="AU47" s="80"/>
      <c r="AV47" s="80"/>
      <c r="AW47" s="80"/>
      <c r="AX47" s="80"/>
      <c r="AY47" s="80"/>
      <c r="AZ47" s="80"/>
      <c r="BA47" s="80"/>
      <c r="BB47" s="80"/>
      <c r="BC47" s="80"/>
      <c r="BD47" s="80"/>
      <c r="BE47" s="80"/>
      <c r="BF47" s="80"/>
      <c r="BG47" s="80"/>
      <c r="BH47" s="80"/>
      <c r="BI47" s="80"/>
      <c r="BJ47" s="80"/>
      <c r="BK47" s="80"/>
      <c r="BL47" s="80"/>
      <c r="BM47" s="80"/>
    </row>
    <row r="48" spans="1:44" s="80" customFormat="1" ht="12.75">
      <c r="A48" s="77"/>
      <c r="B48" s="245"/>
      <c r="C48" s="246"/>
      <c r="D48" s="247" t="s">
        <v>338</v>
      </c>
      <c r="E48" s="248"/>
      <c r="F48" s="249"/>
      <c r="G48" s="250"/>
      <c r="H48" s="251"/>
      <c r="I48" s="252"/>
      <c r="J48" s="253" t="s">
        <v>100</v>
      </c>
      <c r="K48" s="254"/>
      <c r="L48" s="123"/>
      <c r="M48" s="124"/>
      <c r="N48" s="124"/>
      <c r="O48" s="374"/>
      <c r="P48" s="377"/>
      <c r="Q48" s="126"/>
      <c r="R48" s="77"/>
      <c r="S48" s="77"/>
      <c r="T48" s="77"/>
      <c r="U48" s="77"/>
      <c r="V48" s="77"/>
      <c r="W48" s="77"/>
      <c r="X48" s="77"/>
      <c r="Y48" s="77"/>
      <c r="Z48" s="77"/>
      <c r="AA48" s="77"/>
      <c r="AB48" s="77"/>
      <c r="AC48" s="77"/>
      <c r="AD48" s="77"/>
      <c r="AE48" s="77"/>
      <c r="AF48" s="77"/>
      <c r="AH48" s="96" t="s">
        <v>139</v>
      </c>
      <c r="AI48" s="134" t="s">
        <v>56</v>
      </c>
      <c r="AJ48" s="97" t="s">
        <v>54</v>
      </c>
      <c r="AK48" s="98">
        <v>2</v>
      </c>
      <c r="AL48" s="97" t="s">
        <v>54</v>
      </c>
      <c r="AM48" s="98">
        <v>1</v>
      </c>
      <c r="AN48" s="97" t="s">
        <v>54</v>
      </c>
      <c r="AO48" s="98">
        <v>1</v>
      </c>
      <c r="AP48" s="84"/>
      <c r="AQ48" s="84"/>
      <c r="AR48" s="84"/>
    </row>
    <row r="49" spans="2:44" ht="26.25" thickBot="1">
      <c r="B49" s="744" t="s">
        <v>116</v>
      </c>
      <c r="C49" s="745"/>
      <c r="D49" s="255" t="s">
        <v>294</v>
      </c>
      <c r="E49" s="256" t="s">
        <v>6</v>
      </c>
      <c r="F49" s="257"/>
      <c r="G49" s="258"/>
      <c r="H49" s="257"/>
      <c r="I49" s="259"/>
      <c r="J49" s="259" t="s">
        <v>142</v>
      </c>
      <c r="K49" s="260" t="s">
        <v>143</v>
      </c>
      <c r="L49" s="127"/>
      <c r="M49" s="121"/>
      <c r="N49" s="121"/>
      <c r="O49" s="121"/>
      <c r="P49" s="377"/>
      <c r="Q49" s="126"/>
      <c r="AH49" s="96" t="s">
        <v>140</v>
      </c>
      <c r="AI49" s="134" t="s">
        <v>57</v>
      </c>
      <c r="AJ49" s="97" t="s">
        <v>54</v>
      </c>
      <c r="AK49" s="98">
        <v>2</v>
      </c>
      <c r="AL49" s="97" t="s">
        <v>54</v>
      </c>
      <c r="AM49" s="98">
        <v>1</v>
      </c>
      <c r="AN49" s="97" t="s">
        <v>54</v>
      </c>
      <c r="AO49" s="98">
        <v>1</v>
      </c>
      <c r="AP49" s="84"/>
      <c r="AQ49" s="84"/>
      <c r="AR49" s="84"/>
    </row>
    <row r="50" spans="2:44" ht="12.75" customHeight="1" thickBot="1">
      <c r="B50" s="733"/>
      <c r="C50" s="590" t="s">
        <v>117</v>
      </c>
      <c r="D50" s="65"/>
      <c r="E50" s="66"/>
      <c r="F50" s="59">
        <f>IF($D50&gt;0,(VLOOKUP($D50,$AH$3:$AO$50,3,FALSE)),"")</f>
      </c>
      <c r="G50" s="261">
        <f>IF($D50&gt;0,(VLOOKUP($F50,$AQ$5:$AR$10,2,FALSE)),"")</f>
      </c>
      <c r="H50" s="116"/>
      <c r="I50" s="262">
        <f aca="true" t="shared" si="9" ref="I50:I59">IF($H50&gt;0,(VLOOKUP($H50,$AQ$13:$AR$15,2,FALSE)),"")</f>
      </c>
      <c r="J50" s="264">
        <f>IF(D50&gt;0,(E50*G50*I50),"")</f>
      </c>
      <c r="K50" s="265">
        <f>IF(D50&gt;0,(J50-J51),"")</f>
      </c>
      <c r="L50" s="514"/>
      <c r="M50" s="514"/>
      <c r="N50" s="514"/>
      <c r="O50" s="514"/>
      <c r="P50" s="183"/>
      <c r="Q50" s="184"/>
      <c r="AF50" s="105"/>
      <c r="AH50" s="672" t="s">
        <v>327</v>
      </c>
      <c r="AI50" s="673" t="s">
        <v>112</v>
      </c>
      <c r="AJ50" s="677" t="s">
        <v>54</v>
      </c>
      <c r="AK50" s="151">
        <v>2</v>
      </c>
      <c r="AL50" s="677" t="s">
        <v>54</v>
      </c>
      <c r="AM50" s="151">
        <v>1</v>
      </c>
      <c r="AN50" s="677" t="s">
        <v>54</v>
      </c>
      <c r="AO50" s="151">
        <v>1</v>
      </c>
      <c r="AP50" s="84"/>
      <c r="AQ50" s="84"/>
      <c r="AR50" s="84"/>
    </row>
    <row r="51" spans="2:44" ht="13.5" thickBot="1">
      <c r="B51" s="726"/>
      <c r="C51" s="591" t="s">
        <v>118</v>
      </c>
      <c r="D51" s="129"/>
      <c r="E51" s="130"/>
      <c r="F51" s="131"/>
      <c r="G51" s="132"/>
      <c r="H51" s="133"/>
      <c r="I51" s="263">
        <f t="shared" si="9"/>
      </c>
      <c r="J51" s="266">
        <f>IF(D50&gt;0,(E50*G50*I51),"")</f>
      </c>
      <c r="K51" s="267"/>
      <c r="L51" s="514"/>
      <c r="M51" s="514"/>
      <c r="N51" s="514"/>
      <c r="O51" s="514"/>
      <c r="P51" s="380"/>
      <c r="Q51" s="381"/>
      <c r="AF51" s="105"/>
      <c r="AH51" s="662" t="s">
        <v>125</v>
      </c>
      <c r="AI51" s="663"/>
      <c r="AJ51" s="664"/>
      <c r="AK51" s="665"/>
      <c r="AL51" s="666"/>
      <c r="AM51" s="667"/>
      <c r="AN51" s="668"/>
      <c r="AO51" s="669"/>
      <c r="AP51" s="84"/>
      <c r="AQ51" s="84"/>
      <c r="AR51" s="84"/>
    </row>
    <row r="52" spans="2:44" ht="12.75" customHeight="1" hidden="1">
      <c r="B52" s="724"/>
      <c r="C52" s="590" t="s">
        <v>117</v>
      </c>
      <c r="D52" s="65"/>
      <c r="E52" s="66"/>
      <c r="F52" s="59">
        <f>IF($D52&gt;0,(VLOOKUP($D52,$AH$3:$AO$450,3,FALSE)),"")</f>
      </c>
      <c r="G52" s="261">
        <f>IF($D52&gt;0,(VLOOKUP($F52,$AQ$5:$AR$10,2,FALSE)),"")</f>
      </c>
      <c r="H52" s="116"/>
      <c r="I52" s="262">
        <f t="shared" si="9"/>
      </c>
      <c r="J52" s="264">
        <f>IF(D52&gt;0,(E52*G52*I52),"")</f>
      </c>
      <c r="K52" s="265">
        <f>IF(D52&gt;0,(J52-J53),"")</f>
      </c>
      <c r="L52" s="514"/>
      <c r="M52" s="514"/>
      <c r="N52" s="514"/>
      <c r="O52" s="514"/>
      <c r="P52" s="380"/>
      <c r="Q52" s="381"/>
      <c r="AF52" s="186"/>
      <c r="AH52" s="87" t="s">
        <v>185</v>
      </c>
      <c r="AI52" s="671" t="s">
        <v>62</v>
      </c>
      <c r="AJ52" s="88" t="s">
        <v>76</v>
      </c>
      <c r="AK52" s="89">
        <v>4</v>
      </c>
      <c r="AL52" s="88" t="s">
        <v>54</v>
      </c>
      <c r="AM52" s="89">
        <v>1</v>
      </c>
      <c r="AN52" s="674" t="s">
        <v>54</v>
      </c>
      <c r="AO52" s="90">
        <v>1</v>
      </c>
      <c r="AP52" s="84"/>
      <c r="AQ52" s="84"/>
      <c r="AR52" s="84"/>
    </row>
    <row r="53" spans="2:44" ht="13.5" hidden="1" thickBot="1">
      <c r="B53" s="726"/>
      <c r="C53" s="591" t="s">
        <v>118</v>
      </c>
      <c r="D53" s="129"/>
      <c r="E53" s="130"/>
      <c r="F53" s="131"/>
      <c r="G53" s="132"/>
      <c r="H53" s="133"/>
      <c r="I53" s="263">
        <f t="shared" si="9"/>
      </c>
      <c r="J53" s="266">
        <f>IF(D52&gt;0,(E52*G52*I53),"")</f>
      </c>
      <c r="K53" s="267"/>
      <c r="L53" s="514"/>
      <c r="M53" s="514"/>
      <c r="N53" s="514"/>
      <c r="O53" s="514"/>
      <c r="P53" s="380"/>
      <c r="Q53" s="381"/>
      <c r="AF53" s="186"/>
      <c r="AH53" s="96" t="s">
        <v>184</v>
      </c>
      <c r="AI53" s="134" t="s">
        <v>63</v>
      </c>
      <c r="AJ53" s="97" t="s">
        <v>52</v>
      </c>
      <c r="AK53" s="98">
        <v>6</v>
      </c>
      <c r="AL53" s="97" t="s">
        <v>54</v>
      </c>
      <c r="AM53" s="98">
        <v>1</v>
      </c>
      <c r="AN53" s="675" t="s">
        <v>54</v>
      </c>
      <c r="AO53" s="99">
        <v>1</v>
      </c>
      <c r="AP53" s="84"/>
      <c r="AQ53" s="84"/>
      <c r="AR53" s="84"/>
    </row>
    <row r="54" spans="2:44" ht="12.75" customHeight="1" hidden="1">
      <c r="B54" s="724"/>
      <c r="C54" s="590" t="s">
        <v>117</v>
      </c>
      <c r="D54" s="65"/>
      <c r="E54" s="66"/>
      <c r="F54" s="59">
        <f>IF($D54&gt;0,(VLOOKUP($D54,$AH$3:$AO$50,3,FALSE)),"")</f>
      </c>
      <c r="G54" s="261">
        <f>IF($D54&gt;0,(VLOOKUP($F54,$AQ$5:$AR$10,2,FALSE)),"")</f>
      </c>
      <c r="H54" s="116"/>
      <c r="I54" s="262">
        <f t="shared" si="9"/>
      </c>
      <c r="J54" s="264">
        <f>IF(D54&gt;0,(E54*G54*I54),"")</f>
      </c>
      <c r="K54" s="265">
        <f>IF(D54&gt;0,(J54-J55),"")</f>
      </c>
      <c r="L54" s="514"/>
      <c r="M54" s="514"/>
      <c r="N54" s="514"/>
      <c r="O54" s="514"/>
      <c r="P54" s="380"/>
      <c r="Q54" s="381"/>
      <c r="AF54" s="186"/>
      <c r="AH54" s="96" t="s">
        <v>182</v>
      </c>
      <c r="AI54" s="134" t="s">
        <v>65</v>
      </c>
      <c r="AJ54" s="97" t="s">
        <v>307</v>
      </c>
      <c r="AK54" s="98">
        <v>5</v>
      </c>
      <c r="AL54" s="97" t="s">
        <v>54</v>
      </c>
      <c r="AM54" s="98">
        <v>1</v>
      </c>
      <c r="AN54" s="675" t="s">
        <v>54</v>
      </c>
      <c r="AO54" s="99">
        <v>1</v>
      </c>
      <c r="AP54" s="84"/>
      <c r="AQ54" s="84"/>
      <c r="AR54" s="84"/>
    </row>
    <row r="55" spans="2:44" ht="13.5" hidden="1" thickBot="1">
      <c r="B55" s="726"/>
      <c r="C55" s="591" t="s">
        <v>118</v>
      </c>
      <c r="D55" s="129"/>
      <c r="E55" s="130"/>
      <c r="F55" s="131"/>
      <c r="G55" s="132"/>
      <c r="H55" s="133"/>
      <c r="I55" s="263">
        <f t="shared" si="9"/>
      </c>
      <c r="J55" s="266">
        <f>IF(D54&gt;0,(E54*G54*I55),"")</f>
      </c>
      <c r="K55" s="267"/>
      <c r="L55" s="514"/>
      <c r="M55" s="514"/>
      <c r="N55" s="514"/>
      <c r="O55" s="514"/>
      <c r="P55" s="380"/>
      <c r="Q55" s="381"/>
      <c r="AF55" s="186"/>
      <c r="AH55" s="96" t="s">
        <v>181</v>
      </c>
      <c r="AI55" s="134" t="s">
        <v>58</v>
      </c>
      <c r="AJ55" s="97" t="s">
        <v>52</v>
      </c>
      <c r="AK55" s="98">
        <v>6</v>
      </c>
      <c r="AL55" s="97" t="s">
        <v>54</v>
      </c>
      <c r="AM55" s="98">
        <v>1</v>
      </c>
      <c r="AN55" s="675" t="s">
        <v>54</v>
      </c>
      <c r="AO55" s="99">
        <v>1</v>
      </c>
      <c r="AP55" s="84"/>
      <c r="AQ55" s="84"/>
      <c r="AR55" s="84"/>
    </row>
    <row r="56" spans="2:44" ht="12.75" customHeight="1" hidden="1">
      <c r="B56" s="724"/>
      <c r="C56" s="590" t="s">
        <v>117</v>
      </c>
      <c r="D56" s="65"/>
      <c r="E56" s="66"/>
      <c r="F56" s="59">
        <f>IF($D56&gt;0,(VLOOKUP($D56,$AH$3:$AO$50,3,FALSE)),"")</f>
      </c>
      <c r="G56" s="261">
        <f>IF($D56&gt;0,(VLOOKUP($F56,$AQ$5:$AR$10,2,FALSE)),"")</f>
      </c>
      <c r="H56" s="116"/>
      <c r="I56" s="262">
        <f t="shared" si="9"/>
      </c>
      <c r="J56" s="264">
        <f>IF(D56&gt;0,(E56*G56*I56),"")</f>
      </c>
      <c r="K56" s="265">
        <f>IF(D56&gt;0,(J56-J57),"")</f>
      </c>
      <c r="L56" s="514"/>
      <c r="M56" s="514"/>
      <c r="N56" s="514"/>
      <c r="O56" s="514"/>
      <c r="P56" s="380"/>
      <c r="Q56" s="381"/>
      <c r="AF56" s="186"/>
      <c r="AH56" s="96" t="s">
        <v>183</v>
      </c>
      <c r="AI56" s="134" t="s">
        <v>64</v>
      </c>
      <c r="AJ56" s="97" t="s">
        <v>54</v>
      </c>
      <c r="AK56" s="98">
        <v>2</v>
      </c>
      <c r="AL56" s="97" t="s">
        <v>112</v>
      </c>
      <c r="AM56" s="98" t="s">
        <v>110</v>
      </c>
      <c r="AN56" s="97" t="s">
        <v>112</v>
      </c>
      <c r="AO56" s="98" t="s">
        <v>110</v>
      </c>
      <c r="AP56" s="84"/>
      <c r="AQ56" s="84"/>
      <c r="AR56" s="84"/>
    </row>
    <row r="57" spans="2:44" ht="13.5" hidden="1" thickBot="1">
      <c r="B57" s="726"/>
      <c r="C57" s="591" t="s">
        <v>118</v>
      </c>
      <c r="D57" s="129"/>
      <c r="E57" s="130"/>
      <c r="F57" s="131"/>
      <c r="G57" s="132"/>
      <c r="H57" s="133"/>
      <c r="I57" s="263">
        <f t="shared" si="9"/>
      </c>
      <c r="J57" s="266">
        <f>IF(D56&gt;0,(E56*G56*I57),"")</f>
      </c>
      <c r="K57" s="267"/>
      <c r="L57" s="514"/>
      <c r="M57" s="514"/>
      <c r="N57" s="514"/>
      <c r="O57" s="514"/>
      <c r="P57" s="380"/>
      <c r="Q57" s="381"/>
      <c r="AF57" s="186"/>
      <c r="AH57" s="96" t="s">
        <v>187</v>
      </c>
      <c r="AI57" s="134" t="s">
        <v>19</v>
      </c>
      <c r="AJ57" s="97" t="s">
        <v>76</v>
      </c>
      <c r="AK57" s="98">
        <v>4</v>
      </c>
      <c r="AL57" s="97" t="s">
        <v>54</v>
      </c>
      <c r="AM57" s="98">
        <v>1</v>
      </c>
      <c r="AN57" s="675" t="s">
        <v>54</v>
      </c>
      <c r="AO57" s="99">
        <v>1</v>
      </c>
      <c r="AP57" s="84"/>
      <c r="AQ57" s="84"/>
      <c r="AR57" s="84"/>
    </row>
    <row r="58" spans="2:44" ht="12.75" customHeight="1" hidden="1">
      <c r="B58" s="724"/>
      <c r="C58" s="590" t="s">
        <v>117</v>
      </c>
      <c r="D58" s="65"/>
      <c r="E58" s="66"/>
      <c r="F58" s="59">
        <f>IF($D58&gt;0,(VLOOKUP($D58,$AH$3:$AO$50,3,FALSE)),"")</f>
      </c>
      <c r="G58" s="261">
        <f>IF($D58&gt;0,(VLOOKUP($F58,$AQ$5:$AR$10,2,FALSE)),"")</f>
      </c>
      <c r="H58" s="116"/>
      <c r="I58" s="262">
        <f t="shared" si="9"/>
      </c>
      <c r="J58" s="264">
        <f>IF(D58&gt;0,(E58*G58*I58),"")</f>
      </c>
      <c r="K58" s="265">
        <f>IF(D58&gt;0,(J58-J59),"")</f>
      </c>
      <c r="L58" s="514"/>
      <c r="M58" s="170"/>
      <c r="N58" s="170"/>
      <c r="O58" s="170"/>
      <c r="P58" s="380"/>
      <c r="Q58" s="381"/>
      <c r="AF58" s="186"/>
      <c r="AH58" s="96" t="s">
        <v>186</v>
      </c>
      <c r="AI58" s="134" t="s">
        <v>59</v>
      </c>
      <c r="AJ58" s="97" t="s">
        <v>76</v>
      </c>
      <c r="AK58" s="98">
        <v>4</v>
      </c>
      <c r="AL58" s="97" t="s">
        <v>54</v>
      </c>
      <c r="AM58" s="98">
        <v>1</v>
      </c>
      <c r="AN58" s="675" t="s">
        <v>54</v>
      </c>
      <c r="AO58" s="99">
        <v>1</v>
      </c>
      <c r="AP58" s="84"/>
      <c r="AQ58" s="84"/>
      <c r="AR58" s="84"/>
    </row>
    <row r="59" spans="2:44" ht="13.5" hidden="1" thickBot="1">
      <c r="B59" s="725"/>
      <c r="C59" s="591" t="s">
        <v>118</v>
      </c>
      <c r="D59" s="129"/>
      <c r="E59" s="130"/>
      <c r="F59" s="131"/>
      <c r="G59" s="132"/>
      <c r="H59" s="133"/>
      <c r="I59" s="263">
        <f t="shared" si="9"/>
      </c>
      <c r="J59" s="266">
        <f>IF(D58&gt;0,(E58*G58*I59),"")</f>
      </c>
      <c r="K59" s="267"/>
      <c r="L59" s="514"/>
      <c r="M59" s="514"/>
      <c r="N59" s="514"/>
      <c r="O59" s="514"/>
      <c r="P59" s="382"/>
      <c r="Q59" s="383"/>
      <c r="AF59" s="186"/>
      <c r="AH59" s="96" t="s">
        <v>292</v>
      </c>
      <c r="AI59" s="134" t="s">
        <v>56</v>
      </c>
      <c r="AJ59" s="97" t="s">
        <v>54</v>
      </c>
      <c r="AK59" s="98">
        <v>2</v>
      </c>
      <c r="AL59" s="97" t="s">
        <v>54</v>
      </c>
      <c r="AM59" s="98">
        <v>1</v>
      </c>
      <c r="AN59" s="675" t="s">
        <v>54</v>
      </c>
      <c r="AO59" s="99">
        <v>1</v>
      </c>
      <c r="AP59" s="84"/>
      <c r="AQ59" s="84"/>
      <c r="AR59" s="84"/>
    </row>
    <row r="60" spans="2:44" ht="13.5" thickBot="1">
      <c r="B60" s="528"/>
      <c r="C60" s="529"/>
      <c r="D60" s="530" t="s">
        <v>111</v>
      </c>
      <c r="E60" s="592">
        <f>SUM(E50:E59)</f>
        <v>0</v>
      </c>
      <c r="F60" s="532"/>
      <c r="G60" s="533"/>
      <c r="H60" s="533"/>
      <c r="I60" s="533"/>
      <c r="J60" s="534" t="s">
        <v>94</v>
      </c>
      <c r="K60" s="593">
        <f>SUM(K50:K59)</f>
        <v>0</v>
      </c>
      <c r="L60" s="536"/>
      <c r="M60" s="558"/>
      <c r="N60" s="558"/>
      <c r="O60" s="594" t="s">
        <v>195</v>
      </c>
      <c r="P60" s="378"/>
      <c r="Q60" s="379"/>
      <c r="AF60" s="186"/>
      <c r="AH60" s="96" t="s">
        <v>180</v>
      </c>
      <c r="AI60" s="134" t="s">
        <v>43</v>
      </c>
      <c r="AJ60" s="97" t="s">
        <v>52</v>
      </c>
      <c r="AK60" s="98">
        <v>6</v>
      </c>
      <c r="AL60" s="97" t="s">
        <v>76</v>
      </c>
      <c r="AM60" s="98">
        <v>2</v>
      </c>
      <c r="AN60" s="675" t="s">
        <v>54</v>
      </c>
      <c r="AO60" s="99">
        <v>1</v>
      </c>
      <c r="AP60" s="84"/>
      <c r="AQ60" s="84"/>
      <c r="AR60" s="84"/>
    </row>
    <row r="61" spans="2:44" ht="13.5" thickBot="1">
      <c r="B61" s="115"/>
      <c r="C61" s="115"/>
      <c r="D61" s="483"/>
      <c r="E61" s="540"/>
      <c r="F61" s="483"/>
      <c r="G61" s="483"/>
      <c r="H61" s="483"/>
      <c r="I61" s="483"/>
      <c r="J61" s="484"/>
      <c r="K61" s="540"/>
      <c r="L61" s="540"/>
      <c r="M61" s="791" t="s">
        <v>113</v>
      </c>
      <c r="N61" s="792"/>
      <c r="O61" s="595">
        <f>O45+K60</f>
        <v>37.58729</v>
      </c>
      <c r="P61" s="137"/>
      <c r="Q61" s="137"/>
      <c r="AF61" s="186"/>
      <c r="AH61" s="96" t="s">
        <v>179</v>
      </c>
      <c r="AI61" s="134" t="s">
        <v>44</v>
      </c>
      <c r="AJ61" s="97" t="s">
        <v>52</v>
      </c>
      <c r="AK61" s="98">
        <v>6</v>
      </c>
      <c r="AL61" s="97" t="s">
        <v>76</v>
      </c>
      <c r="AM61" s="98">
        <v>2</v>
      </c>
      <c r="AN61" s="675" t="s">
        <v>54</v>
      </c>
      <c r="AO61" s="99">
        <v>1</v>
      </c>
      <c r="AP61" s="84"/>
      <c r="AQ61" s="84"/>
      <c r="AR61" s="84"/>
    </row>
    <row r="62" spans="2:44" ht="12.75">
      <c r="B62" s="138" t="str">
        <f>IF('Habitat trading down correction'!E42+'Habitat trading down correction'!F42&gt;0,"CAUTION - Destruction of habitats of high distinctiveness, e.g. lowland meadow or ancient woodland, may be against local policy. Has the mitigation hierarchy been followed, can impact to these habitats be avoided?","")</f>
        <v>CAUTION - Destruction of habitats of high distinctiveness, e.g. lowland meadow or ancient woodland, may be against local policy. Has the mitigation hierarchy been followed, can impact to these habitats be avoided?</v>
      </c>
      <c r="C62" s="77"/>
      <c r="D62" s="78"/>
      <c r="E62" s="136"/>
      <c r="F62" s="78"/>
      <c r="G62" s="78"/>
      <c r="H62" s="78"/>
      <c r="I62" s="78"/>
      <c r="J62" s="86"/>
      <c r="K62" s="136"/>
      <c r="L62" s="136"/>
      <c r="M62" s="139"/>
      <c r="N62" s="78"/>
      <c r="O62" s="140"/>
      <c r="P62" s="137"/>
      <c r="Q62" s="137"/>
      <c r="AF62" s="186"/>
      <c r="AH62" s="96" t="s">
        <v>176</v>
      </c>
      <c r="AI62" s="134" t="s">
        <v>61</v>
      </c>
      <c r="AJ62" s="97" t="s">
        <v>54</v>
      </c>
      <c r="AK62" s="98">
        <v>2</v>
      </c>
      <c r="AL62" s="97" t="s">
        <v>54</v>
      </c>
      <c r="AM62" s="98">
        <v>1</v>
      </c>
      <c r="AN62" s="675" t="s">
        <v>54</v>
      </c>
      <c r="AO62" s="99">
        <v>1</v>
      </c>
      <c r="AP62" s="84"/>
      <c r="AQ62" s="84"/>
      <c r="AR62" s="84"/>
    </row>
    <row r="63" spans="1:44" s="117" customFormat="1" ht="13.5" thickBot="1">
      <c r="A63" s="115"/>
      <c r="B63" s="138" t="str">
        <f>IF('Habitat trading down correction'!E42+'Habitat trading down correction'!F42&gt;0,"Any unavoidable loss of habitats of high distinctiveness must be replaced like-for-like.","")</f>
        <v>Any unavoidable loss of habitats of high distinctiveness must be replaced like-for-like.</v>
      </c>
      <c r="C63" s="141"/>
      <c r="D63" s="142"/>
      <c r="E63" s="143"/>
      <c r="F63" s="144"/>
      <c r="G63" s="102"/>
      <c r="H63" s="144"/>
      <c r="I63" s="145"/>
      <c r="J63" s="146"/>
      <c r="K63" s="146"/>
      <c r="L63" s="147"/>
      <c r="M63" s="147"/>
      <c r="N63" s="147"/>
      <c r="P63" s="148"/>
      <c r="Q63" s="148"/>
      <c r="R63" s="115"/>
      <c r="S63" s="115"/>
      <c r="T63" s="115"/>
      <c r="U63" s="115"/>
      <c r="V63" s="115"/>
      <c r="W63" s="115"/>
      <c r="X63" s="115"/>
      <c r="Y63" s="115"/>
      <c r="Z63" s="115"/>
      <c r="AA63" s="115"/>
      <c r="AB63" s="115"/>
      <c r="AC63" s="115"/>
      <c r="AD63" s="115"/>
      <c r="AE63" s="115"/>
      <c r="AF63" s="186"/>
      <c r="AH63" s="96" t="s">
        <v>173</v>
      </c>
      <c r="AI63" s="134" t="s">
        <v>66</v>
      </c>
      <c r="AJ63" s="97" t="s">
        <v>133</v>
      </c>
      <c r="AK63" s="98">
        <v>0</v>
      </c>
      <c r="AL63" s="97" t="s">
        <v>54</v>
      </c>
      <c r="AM63" s="98">
        <v>1</v>
      </c>
      <c r="AN63" s="675" t="s">
        <v>54</v>
      </c>
      <c r="AO63" s="99">
        <v>1</v>
      </c>
      <c r="AP63" s="84"/>
      <c r="AQ63" s="84"/>
      <c r="AR63" s="84"/>
    </row>
    <row r="64" spans="2:44" ht="27.75" customHeight="1" thickBot="1">
      <c r="B64" s="77"/>
      <c r="C64" s="727" t="s">
        <v>101</v>
      </c>
      <c r="D64" s="728"/>
      <c r="E64" s="729"/>
      <c r="F64" s="742" t="s">
        <v>96</v>
      </c>
      <c r="G64" s="743"/>
      <c r="H64" s="742" t="s">
        <v>97</v>
      </c>
      <c r="I64" s="786"/>
      <c r="J64" s="279"/>
      <c r="K64" s="786" t="s">
        <v>95</v>
      </c>
      <c r="L64" s="743"/>
      <c r="M64" s="727" t="s">
        <v>99</v>
      </c>
      <c r="N64" s="729"/>
      <c r="O64" s="787" t="s">
        <v>104</v>
      </c>
      <c r="P64" s="77"/>
      <c r="Q64" s="77"/>
      <c r="AF64" s="186"/>
      <c r="AH64" s="96" t="s">
        <v>174</v>
      </c>
      <c r="AI64" s="134" t="s">
        <v>67</v>
      </c>
      <c r="AJ64" s="97" t="s">
        <v>54</v>
      </c>
      <c r="AK64" s="98">
        <v>2</v>
      </c>
      <c r="AL64" s="97" t="s">
        <v>54</v>
      </c>
      <c r="AM64" s="98">
        <v>1</v>
      </c>
      <c r="AN64" s="675" t="s">
        <v>54</v>
      </c>
      <c r="AO64" s="99">
        <v>1</v>
      </c>
      <c r="AP64" s="84"/>
      <c r="AQ64" s="84"/>
      <c r="AR64" s="84"/>
    </row>
    <row r="65" spans="2:44" ht="26.25" thickBot="1">
      <c r="B65" s="239" t="s">
        <v>11</v>
      </c>
      <c r="C65" s="240" t="s">
        <v>10</v>
      </c>
      <c r="D65" s="241" t="s">
        <v>209</v>
      </c>
      <c r="E65" s="244" t="s">
        <v>72</v>
      </c>
      <c r="F65" s="280" t="s">
        <v>0</v>
      </c>
      <c r="G65" s="281" t="s">
        <v>80</v>
      </c>
      <c r="H65" s="280" t="s">
        <v>1</v>
      </c>
      <c r="I65" s="282" t="s">
        <v>80</v>
      </c>
      <c r="J65" s="283"/>
      <c r="K65" s="284" t="s">
        <v>98</v>
      </c>
      <c r="L65" s="282" t="s">
        <v>80</v>
      </c>
      <c r="M65" s="285" t="s">
        <v>78</v>
      </c>
      <c r="N65" s="286" t="s">
        <v>80</v>
      </c>
      <c r="O65" s="788"/>
      <c r="P65" s="372" t="s">
        <v>9</v>
      </c>
      <c r="Q65" s="373"/>
      <c r="R65" s="150"/>
      <c r="S65" s="150"/>
      <c r="AF65" s="186"/>
      <c r="AH65" s="96" t="s">
        <v>175</v>
      </c>
      <c r="AI65" s="134" t="s">
        <v>67</v>
      </c>
      <c r="AJ65" s="97" t="s">
        <v>76</v>
      </c>
      <c r="AK65" s="98">
        <v>4</v>
      </c>
      <c r="AL65" s="97" t="s">
        <v>54</v>
      </c>
      <c r="AM65" s="98">
        <v>1</v>
      </c>
      <c r="AN65" s="675" t="s">
        <v>54</v>
      </c>
      <c r="AO65" s="99">
        <v>1</v>
      </c>
      <c r="AP65" s="84"/>
      <c r="AQ65" s="84"/>
      <c r="AR65" s="84"/>
    </row>
    <row r="66" spans="2:44" ht="26.25" thickBot="1">
      <c r="B66" s="169"/>
      <c r="C66" s="339"/>
      <c r="D66" s="338" t="s">
        <v>84</v>
      </c>
      <c r="E66" s="235" t="s">
        <v>120</v>
      </c>
      <c r="F66" s="287"/>
      <c r="G66" s="288" t="s">
        <v>121</v>
      </c>
      <c r="H66" s="289"/>
      <c r="I66" s="290" t="s">
        <v>145</v>
      </c>
      <c r="J66" s="283"/>
      <c r="K66" s="287"/>
      <c r="L66" s="291" t="s">
        <v>146</v>
      </c>
      <c r="M66" s="292"/>
      <c r="N66" s="288" t="s">
        <v>147</v>
      </c>
      <c r="O66" s="291" t="s">
        <v>281</v>
      </c>
      <c r="P66" s="365"/>
      <c r="Q66" s="366"/>
      <c r="R66" s="93"/>
      <c r="S66" s="93"/>
      <c r="AF66" s="186"/>
      <c r="AH66" s="96" t="s">
        <v>177</v>
      </c>
      <c r="AI66" s="134" t="s">
        <v>60</v>
      </c>
      <c r="AJ66" s="97" t="s">
        <v>76</v>
      </c>
      <c r="AK66" s="98">
        <v>4</v>
      </c>
      <c r="AL66" s="97" t="s">
        <v>54</v>
      </c>
      <c r="AM66" s="98">
        <v>1</v>
      </c>
      <c r="AN66" s="675" t="s">
        <v>54</v>
      </c>
      <c r="AO66" s="99">
        <v>1</v>
      </c>
      <c r="AP66" s="84"/>
      <c r="AQ66" s="84"/>
      <c r="AR66" s="84"/>
    </row>
    <row r="67" spans="2:41" ht="13.5" thickBot="1">
      <c r="B67" s="198"/>
      <c r="C67" s="576" t="str">
        <f>IF($D67&gt;0,(VLOOKUP($D67,$AH$3:$AO$50,2,FALSE)),"")</f>
        <v>n/a</v>
      </c>
      <c r="D67" s="712" t="s">
        <v>171</v>
      </c>
      <c r="E67" s="67">
        <v>3.492888</v>
      </c>
      <c r="F67" s="59" t="str">
        <f>IF($D67&gt;0,(VLOOKUP($D67,$AH$3:$AO$50,3,FALSE)),"")</f>
        <v>none</v>
      </c>
      <c r="G67" s="214">
        <f aca="true" t="shared" si="10" ref="G67:G81">IF($D67&gt;0,(VLOOKUP($F67,$AQ$5:$AR$10,2,FALSE)),"")</f>
        <v>0</v>
      </c>
      <c r="H67" s="154" t="s">
        <v>71</v>
      </c>
      <c r="I67" s="219">
        <f aca="true" t="shared" si="11" ref="I67:I81">IF($H67&gt;0,(VLOOKUP($H67,$AQ$13:$AR$15,2,FALSE)),"")</f>
        <v>1</v>
      </c>
      <c r="J67" s="703"/>
      <c r="K67" s="116" t="s">
        <v>86</v>
      </c>
      <c r="L67" s="310">
        <f aca="true" t="shared" si="12" ref="L67:L81">IF($K67&gt;0,(VLOOKUP($K67,$AQ$18:$AR$24,2,FALSE)),"")</f>
        <v>1.2</v>
      </c>
      <c r="M67" s="59" t="str">
        <f>IF($D67&gt;0,(VLOOKUP($D67,$AH$3:$AO$50,5,FALSE)),"")</f>
        <v>Low</v>
      </c>
      <c r="N67" s="214">
        <f aca="true" t="shared" si="13" ref="N67:N81">IF($D67&gt;0,(VLOOKUP($M67,$AQ$27:$AR$31,2,FALSE)),"")</f>
        <v>1</v>
      </c>
      <c r="O67" s="362">
        <f>IF(D67&gt;0,(E67*G67*I67)/L67/N67,"")</f>
        <v>0</v>
      </c>
      <c r="P67" s="489" t="s">
        <v>350</v>
      </c>
      <c r="Q67" s="371"/>
      <c r="R67" s="155"/>
      <c r="S67" s="155"/>
      <c r="AF67" s="105"/>
      <c r="AH67" s="96" t="s">
        <v>178</v>
      </c>
      <c r="AI67" s="134" t="s">
        <v>68</v>
      </c>
      <c r="AJ67" s="97" t="s">
        <v>54</v>
      </c>
      <c r="AK67" s="98">
        <v>2</v>
      </c>
      <c r="AL67" s="97" t="s">
        <v>54</v>
      </c>
      <c r="AM67" s="98">
        <v>1</v>
      </c>
      <c r="AN67" s="675" t="s">
        <v>54</v>
      </c>
      <c r="AO67" s="99">
        <v>1</v>
      </c>
    </row>
    <row r="68" spans="2:41" ht="26.25" thickBot="1">
      <c r="B68" s="203"/>
      <c r="C68" s="578" t="str">
        <f aca="true" t="shared" si="14" ref="C68:C81">IF($D68&gt;0,(VLOOKUP($D68,$AH$3:$AO$50,2,FALSE)),"")</f>
        <v>n/a</v>
      </c>
      <c r="D68" s="713" t="s">
        <v>172</v>
      </c>
      <c r="E68" s="68">
        <v>1.496952</v>
      </c>
      <c r="F68" s="60" t="str">
        <f aca="true" t="shared" si="15" ref="F68:F81">IF($D68&gt;0,(VLOOKUP($D68,$AH$3:$AO$50,3,FALSE)),"")</f>
        <v>Low</v>
      </c>
      <c r="G68" s="217">
        <f t="shared" si="10"/>
        <v>2</v>
      </c>
      <c r="H68" s="156" t="s">
        <v>71</v>
      </c>
      <c r="I68" s="220">
        <f t="shared" si="11"/>
        <v>1</v>
      </c>
      <c r="J68" s="545"/>
      <c r="K68" s="157" t="s">
        <v>86</v>
      </c>
      <c r="L68" s="311">
        <f t="shared" si="12"/>
        <v>1.2</v>
      </c>
      <c r="M68" s="60" t="str">
        <f aca="true" t="shared" si="16" ref="M68:M81">IF($D68&gt;0,(VLOOKUP($D68,$AH$3:$AO$50,5,FALSE)),"")</f>
        <v>Low</v>
      </c>
      <c r="N68" s="217">
        <f t="shared" si="13"/>
        <v>1</v>
      </c>
      <c r="O68" s="363">
        <f aca="true" t="shared" si="17" ref="O68:O81">IF(D68&gt;0,(E68*G68*I68)/L68/N68,"")</f>
        <v>2.49492</v>
      </c>
      <c r="P68" s="489" t="s">
        <v>350</v>
      </c>
      <c r="Q68" s="158"/>
      <c r="AF68" s="105"/>
      <c r="AH68" s="672" t="s">
        <v>328</v>
      </c>
      <c r="AI68" s="673" t="s">
        <v>112</v>
      </c>
      <c r="AJ68" s="677" t="s">
        <v>54</v>
      </c>
      <c r="AK68" s="151">
        <v>2</v>
      </c>
      <c r="AL68" s="677" t="s">
        <v>54</v>
      </c>
      <c r="AM68" s="151">
        <v>1</v>
      </c>
      <c r="AN68" s="677" t="s">
        <v>54</v>
      </c>
      <c r="AO68" s="151">
        <v>1</v>
      </c>
    </row>
    <row r="69" spans="2:41" ht="13.5" thickBot="1">
      <c r="B69" s="203"/>
      <c r="C69" s="578" t="str">
        <f t="shared" si="14"/>
        <v>B21</v>
      </c>
      <c r="D69" s="713" t="s">
        <v>154</v>
      </c>
      <c r="E69" s="68">
        <v>3.15059</v>
      </c>
      <c r="F69" s="60" t="str">
        <f t="shared" si="15"/>
        <v>High</v>
      </c>
      <c r="G69" s="217">
        <f t="shared" si="10"/>
        <v>6</v>
      </c>
      <c r="H69" s="714" t="s">
        <v>53</v>
      </c>
      <c r="I69" s="220">
        <f t="shared" si="11"/>
        <v>2</v>
      </c>
      <c r="J69" s="545"/>
      <c r="K69" s="157" t="s">
        <v>87</v>
      </c>
      <c r="L69" s="311">
        <f t="shared" si="12"/>
        <v>1.4</v>
      </c>
      <c r="M69" s="60" t="str">
        <f t="shared" si="16"/>
        <v>Medium</v>
      </c>
      <c r="N69" s="217">
        <f t="shared" si="13"/>
        <v>1.5</v>
      </c>
      <c r="O69" s="363">
        <f t="shared" si="17"/>
        <v>18.00337142857143</v>
      </c>
      <c r="P69" s="546" t="s">
        <v>351</v>
      </c>
      <c r="Q69" s="158"/>
      <c r="AF69" s="105"/>
      <c r="AO69" s="153"/>
    </row>
    <row r="70" spans="2:41" ht="13.5" thickBot="1">
      <c r="B70" s="203"/>
      <c r="C70" s="578" t="str">
        <f t="shared" si="14"/>
        <v>G1</v>
      </c>
      <c r="D70" s="713" t="s">
        <v>168</v>
      </c>
      <c r="E70" s="68">
        <v>0.04</v>
      </c>
      <c r="F70" s="60" t="str">
        <f t="shared" si="15"/>
        <v>High</v>
      </c>
      <c r="G70" s="217">
        <f t="shared" si="10"/>
        <v>6</v>
      </c>
      <c r="H70" s="156" t="s">
        <v>70</v>
      </c>
      <c r="I70" s="220">
        <f t="shared" si="11"/>
        <v>3</v>
      </c>
      <c r="J70" s="545"/>
      <c r="K70" s="157" t="s">
        <v>87</v>
      </c>
      <c r="L70" s="311">
        <f t="shared" si="12"/>
        <v>1.4</v>
      </c>
      <c r="M70" s="60" t="str">
        <f t="shared" si="16"/>
        <v>Medium</v>
      </c>
      <c r="N70" s="217">
        <f t="shared" si="13"/>
        <v>1.5</v>
      </c>
      <c r="O70" s="363">
        <f t="shared" si="17"/>
        <v>0.3428571428571429</v>
      </c>
      <c r="P70" s="546" t="s">
        <v>352</v>
      </c>
      <c r="Q70" s="158"/>
      <c r="AF70" s="105"/>
      <c r="AH70" s="681" t="s">
        <v>331</v>
      </c>
      <c r="AI70" s="681" t="s">
        <v>332</v>
      </c>
      <c r="AJ70" s="84"/>
      <c r="AK70" s="84"/>
      <c r="AL70" s="152"/>
      <c r="AM70" s="153"/>
      <c r="AN70" s="152"/>
      <c r="AO70" s="153"/>
    </row>
    <row r="71" spans="2:41" ht="13.5" thickBot="1">
      <c r="B71" s="203"/>
      <c r="C71" s="578">
        <f t="shared" si="14"/>
      </c>
      <c r="D71" s="701"/>
      <c r="E71" s="68"/>
      <c r="F71" s="60">
        <f t="shared" si="15"/>
      </c>
      <c r="G71" s="217">
        <f t="shared" si="10"/>
      </c>
      <c r="H71" s="156"/>
      <c r="I71" s="220">
        <f t="shared" si="11"/>
      </c>
      <c r="J71" s="545"/>
      <c r="K71" s="157"/>
      <c r="L71" s="311">
        <f t="shared" si="12"/>
      </c>
      <c r="M71" s="60">
        <f t="shared" si="16"/>
      </c>
      <c r="N71" s="217">
        <f t="shared" si="13"/>
      </c>
      <c r="O71" s="363">
        <f t="shared" si="17"/>
      </c>
      <c r="P71" s="546"/>
      <c r="Q71" s="158"/>
      <c r="AF71" s="105"/>
      <c r="AH71" s="680" t="s">
        <v>79</v>
      </c>
      <c r="AI71" s="159" t="s">
        <v>79</v>
      </c>
      <c r="AJ71" s="84"/>
      <c r="AK71" s="84"/>
      <c r="AL71" s="152"/>
      <c r="AM71" s="153"/>
      <c r="AN71" s="152"/>
      <c r="AO71" s="153"/>
    </row>
    <row r="72" spans="2:41" ht="12.75" hidden="1">
      <c r="B72" s="203"/>
      <c r="C72" s="578">
        <f t="shared" si="14"/>
      </c>
      <c r="D72" s="701"/>
      <c r="E72" s="68"/>
      <c r="F72" s="60">
        <f t="shared" si="15"/>
      </c>
      <c r="G72" s="217">
        <f t="shared" si="10"/>
      </c>
      <c r="H72" s="156"/>
      <c r="I72" s="220">
        <f t="shared" si="11"/>
      </c>
      <c r="J72" s="545"/>
      <c r="K72" s="157"/>
      <c r="L72" s="311">
        <f t="shared" si="12"/>
      </c>
      <c r="M72" s="60">
        <f t="shared" si="16"/>
      </c>
      <c r="N72" s="217">
        <f t="shared" si="13"/>
      </c>
      <c r="O72" s="363">
        <f t="shared" si="17"/>
      </c>
      <c r="P72" s="546"/>
      <c r="Q72" s="158"/>
      <c r="AH72" s="678" t="s">
        <v>171</v>
      </c>
      <c r="AI72" s="160" t="s">
        <v>126</v>
      </c>
      <c r="AJ72" s="84"/>
      <c r="AK72" s="84"/>
      <c r="AL72" s="152"/>
      <c r="AM72" s="153"/>
      <c r="AN72" s="152"/>
      <c r="AO72" s="153"/>
    </row>
    <row r="73" spans="2:41" ht="12.75" hidden="1">
      <c r="B73" s="203"/>
      <c r="C73" s="578">
        <f t="shared" si="14"/>
      </c>
      <c r="D73" s="701"/>
      <c r="E73" s="68"/>
      <c r="F73" s="60">
        <f t="shared" si="15"/>
      </c>
      <c r="G73" s="217">
        <f t="shared" si="10"/>
      </c>
      <c r="H73" s="156"/>
      <c r="I73" s="220">
        <f t="shared" si="11"/>
      </c>
      <c r="J73" s="545"/>
      <c r="K73" s="157"/>
      <c r="L73" s="311">
        <f t="shared" si="12"/>
      </c>
      <c r="M73" s="60">
        <f t="shared" si="16"/>
      </c>
      <c r="N73" s="217">
        <f t="shared" si="13"/>
      </c>
      <c r="O73" s="363">
        <f t="shared" si="17"/>
      </c>
      <c r="P73" s="546"/>
      <c r="Q73" s="158"/>
      <c r="AH73" s="679" t="s">
        <v>172</v>
      </c>
      <c r="AI73" s="161" t="s">
        <v>127</v>
      </c>
      <c r="AJ73" s="84"/>
      <c r="AK73" s="84"/>
      <c r="AL73" s="152"/>
      <c r="AM73" s="153"/>
      <c r="AN73" s="152"/>
      <c r="AO73" s="153"/>
    </row>
    <row r="74" spans="2:41" ht="12.75" hidden="1">
      <c r="B74" s="203"/>
      <c r="C74" s="578">
        <f t="shared" si="14"/>
      </c>
      <c r="D74" s="701"/>
      <c r="E74" s="68"/>
      <c r="F74" s="60">
        <f t="shared" si="15"/>
      </c>
      <c r="G74" s="217">
        <f t="shared" si="10"/>
      </c>
      <c r="H74" s="156"/>
      <c r="I74" s="220">
        <f t="shared" si="11"/>
      </c>
      <c r="J74" s="545"/>
      <c r="K74" s="157"/>
      <c r="L74" s="311">
        <f t="shared" si="12"/>
      </c>
      <c r="M74" s="60">
        <f t="shared" si="16"/>
      </c>
      <c r="N74" s="217">
        <f t="shared" si="13"/>
      </c>
      <c r="O74" s="363">
        <f t="shared" si="17"/>
      </c>
      <c r="P74" s="546"/>
      <c r="Q74" s="158"/>
      <c r="AH74" s="679" t="s">
        <v>127</v>
      </c>
      <c r="AI74" s="161" t="s">
        <v>128</v>
      </c>
      <c r="AJ74" s="84"/>
      <c r="AK74" s="84"/>
      <c r="AL74" s="152"/>
      <c r="AM74" s="153"/>
      <c r="AN74" s="152"/>
      <c r="AO74" s="153"/>
    </row>
    <row r="75" spans="2:41" ht="12.75" hidden="1">
      <c r="B75" s="203"/>
      <c r="C75" s="578">
        <f t="shared" si="14"/>
      </c>
      <c r="D75" s="701"/>
      <c r="E75" s="68"/>
      <c r="F75" s="60">
        <f t="shared" si="15"/>
      </c>
      <c r="G75" s="217">
        <f t="shared" si="10"/>
      </c>
      <c r="H75" s="156"/>
      <c r="I75" s="220">
        <f t="shared" si="11"/>
      </c>
      <c r="J75" s="545"/>
      <c r="K75" s="157"/>
      <c r="L75" s="311">
        <f t="shared" si="12"/>
      </c>
      <c r="M75" s="60">
        <f t="shared" si="16"/>
      </c>
      <c r="N75" s="217">
        <f t="shared" si="13"/>
      </c>
      <c r="O75" s="363">
        <f t="shared" si="17"/>
      </c>
      <c r="P75" s="546"/>
      <c r="Q75" s="158"/>
      <c r="AH75" s="679" t="s">
        <v>129</v>
      </c>
      <c r="AI75" s="161" t="s">
        <v>129</v>
      </c>
      <c r="AJ75" s="84"/>
      <c r="AK75" s="84"/>
      <c r="AL75" s="152"/>
      <c r="AM75" s="153"/>
      <c r="AN75" s="152"/>
      <c r="AO75" s="153"/>
    </row>
    <row r="76" spans="2:41" ht="12.75" hidden="1">
      <c r="B76" s="203"/>
      <c r="C76" s="578">
        <f t="shared" si="14"/>
      </c>
      <c r="D76" s="701"/>
      <c r="E76" s="68"/>
      <c r="F76" s="60">
        <f t="shared" si="15"/>
      </c>
      <c r="G76" s="217">
        <f t="shared" si="10"/>
      </c>
      <c r="H76" s="156"/>
      <c r="I76" s="220">
        <f t="shared" si="11"/>
      </c>
      <c r="J76" s="545"/>
      <c r="K76" s="157"/>
      <c r="L76" s="311">
        <f t="shared" si="12"/>
      </c>
      <c r="M76" s="60">
        <f t="shared" si="16"/>
      </c>
      <c r="N76" s="217">
        <f t="shared" si="13"/>
      </c>
      <c r="O76" s="363">
        <f t="shared" si="17"/>
      </c>
      <c r="P76" s="546"/>
      <c r="Q76" s="158"/>
      <c r="AH76" s="679" t="s">
        <v>131</v>
      </c>
      <c r="AI76" s="161" t="s">
        <v>130</v>
      </c>
      <c r="AJ76" s="84"/>
      <c r="AK76" s="84"/>
      <c r="AL76" s="152"/>
      <c r="AM76" s="153"/>
      <c r="AN76" s="152"/>
      <c r="AO76" s="153"/>
    </row>
    <row r="77" spans="2:41" ht="12.75" hidden="1">
      <c r="B77" s="203"/>
      <c r="C77" s="578">
        <f t="shared" si="14"/>
      </c>
      <c r="D77" s="701"/>
      <c r="E77" s="68"/>
      <c r="F77" s="60">
        <f t="shared" si="15"/>
      </c>
      <c r="G77" s="217">
        <f t="shared" si="10"/>
      </c>
      <c r="H77" s="156"/>
      <c r="I77" s="220">
        <f t="shared" si="11"/>
      </c>
      <c r="J77" s="545"/>
      <c r="K77" s="157"/>
      <c r="L77" s="311">
        <f t="shared" si="12"/>
      </c>
      <c r="M77" s="60">
        <f t="shared" si="16"/>
      </c>
      <c r="N77" s="217">
        <f t="shared" si="13"/>
      </c>
      <c r="O77" s="363">
        <f t="shared" si="17"/>
      </c>
      <c r="P77" s="546"/>
      <c r="Q77" s="158"/>
      <c r="AH77" s="679" t="s">
        <v>132</v>
      </c>
      <c r="AI77" s="161" t="s">
        <v>131</v>
      </c>
      <c r="AJ77" s="84"/>
      <c r="AK77" s="84"/>
      <c r="AL77" s="152"/>
      <c r="AM77" s="153"/>
      <c r="AN77" s="152"/>
      <c r="AO77" s="153"/>
    </row>
    <row r="78" spans="2:41" ht="12.75" hidden="1">
      <c r="B78" s="203"/>
      <c r="C78" s="578">
        <f t="shared" si="14"/>
      </c>
      <c r="D78" s="701"/>
      <c r="E78" s="68"/>
      <c r="F78" s="60">
        <f t="shared" si="15"/>
      </c>
      <c r="G78" s="217">
        <f t="shared" si="10"/>
      </c>
      <c r="H78" s="156"/>
      <c r="I78" s="220">
        <f t="shared" si="11"/>
      </c>
      <c r="J78" s="545"/>
      <c r="K78" s="157"/>
      <c r="L78" s="311">
        <f t="shared" si="12"/>
      </c>
      <c r="M78" s="60">
        <f t="shared" si="16"/>
      </c>
      <c r="N78" s="217">
        <f t="shared" si="13"/>
      </c>
      <c r="O78" s="363">
        <f t="shared" si="17"/>
      </c>
      <c r="P78" s="546"/>
      <c r="Q78" s="158"/>
      <c r="AH78" s="679" t="s">
        <v>148</v>
      </c>
      <c r="AI78" s="161" t="s">
        <v>132</v>
      </c>
      <c r="AJ78" s="84"/>
      <c r="AK78" s="84"/>
      <c r="AL78" s="152"/>
      <c r="AM78" s="153"/>
      <c r="AN78" s="152"/>
      <c r="AO78" s="658"/>
    </row>
    <row r="79" spans="2:41" ht="12.75" hidden="1">
      <c r="B79" s="203"/>
      <c r="C79" s="578">
        <f t="shared" si="14"/>
      </c>
      <c r="D79" s="701"/>
      <c r="E79" s="68"/>
      <c r="F79" s="60">
        <f t="shared" si="15"/>
      </c>
      <c r="G79" s="217">
        <f t="shared" si="10"/>
      </c>
      <c r="H79" s="156"/>
      <c r="I79" s="220">
        <f t="shared" si="11"/>
      </c>
      <c r="J79" s="545"/>
      <c r="K79" s="157"/>
      <c r="L79" s="311">
        <f t="shared" si="12"/>
      </c>
      <c r="M79" s="60">
        <f t="shared" si="16"/>
      </c>
      <c r="N79" s="217">
        <f t="shared" si="13"/>
      </c>
      <c r="O79" s="363">
        <f t="shared" si="17"/>
      </c>
      <c r="P79" s="546"/>
      <c r="Q79" s="158"/>
      <c r="AH79" s="679" t="s">
        <v>149</v>
      </c>
      <c r="AI79" s="161" t="s">
        <v>148</v>
      </c>
      <c r="AJ79" s="657"/>
      <c r="AK79" s="657"/>
      <c r="AL79" s="658"/>
      <c r="AM79" s="658"/>
      <c r="AN79" s="658"/>
      <c r="AO79" s="166"/>
    </row>
    <row r="80" spans="2:41" ht="12.75" hidden="1">
      <c r="B80" s="203"/>
      <c r="C80" s="578">
        <f t="shared" si="14"/>
      </c>
      <c r="D80" s="701"/>
      <c r="E80" s="68"/>
      <c r="F80" s="60">
        <f t="shared" si="15"/>
      </c>
      <c r="G80" s="217">
        <f t="shared" si="10"/>
      </c>
      <c r="H80" s="156"/>
      <c r="I80" s="220">
        <f t="shared" si="11"/>
      </c>
      <c r="J80" s="545"/>
      <c r="K80" s="157"/>
      <c r="L80" s="311">
        <f t="shared" si="12"/>
      </c>
      <c r="M80" s="60">
        <f t="shared" si="16"/>
      </c>
      <c r="N80" s="217">
        <f t="shared" si="13"/>
      </c>
      <c r="O80" s="363">
        <f t="shared" si="17"/>
      </c>
      <c r="P80" s="546"/>
      <c r="Q80" s="158"/>
      <c r="AH80" s="80" t="s">
        <v>335</v>
      </c>
      <c r="AI80" s="161" t="s">
        <v>149</v>
      </c>
      <c r="AJ80" s="163"/>
      <c r="AK80" s="164"/>
      <c r="AL80" s="163"/>
      <c r="AM80" s="164"/>
      <c r="AN80" s="165"/>
      <c r="AO80" s="166"/>
    </row>
    <row r="81" spans="2:41" ht="13.5" hidden="1" thickBot="1">
      <c r="B81" s="552"/>
      <c r="C81" s="580">
        <f t="shared" si="14"/>
      </c>
      <c r="D81" s="702"/>
      <c r="E81" s="69"/>
      <c r="F81" s="61">
        <f t="shared" si="15"/>
      </c>
      <c r="G81" s="218">
        <f t="shared" si="10"/>
      </c>
      <c r="H81" s="167"/>
      <c r="I81" s="221">
        <f t="shared" si="11"/>
      </c>
      <c r="J81" s="704"/>
      <c r="K81" s="168"/>
      <c r="L81" s="312">
        <f t="shared" si="12"/>
      </c>
      <c r="M81" s="61">
        <f t="shared" si="16"/>
      </c>
      <c r="N81" s="218">
        <f t="shared" si="13"/>
      </c>
      <c r="O81" s="364">
        <f t="shared" si="17"/>
      </c>
      <c r="P81" s="547"/>
      <c r="Q81" s="369"/>
      <c r="AH81" s="679" t="s">
        <v>336</v>
      </c>
      <c r="AI81" s="80" t="s">
        <v>335</v>
      </c>
      <c r="AJ81" s="163"/>
      <c r="AK81" s="164"/>
      <c r="AL81" s="163"/>
      <c r="AM81" s="164"/>
      <c r="AN81" s="165"/>
      <c r="AO81" s="166"/>
    </row>
    <row r="82" spans="2:44" ht="13.5" thickBot="1">
      <c r="B82" s="169"/>
      <c r="C82" s="170"/>
      <c r="D82" s="700" t="s">
        <v>111</v>
      </c>
      <c r="E82" s="541">
        <f>SUM(E67:E81)</f>
        <v>8.18043</v>
      </c>
      <c r="F82" s="171">
        <f>IF($E$82&lt;&gt;$N$45,"ERROR - Total area of habitats created must equal total area of habitats lost","")</f>
      </c>
      <c r="G82" s="172"/>
      <c r="H82" s="173"/>
      <c r="I82" s="173"/>
      <c r="J82" s="149"/>
      <c r="K82" s="173"/>
      <c r="L82" s="174"/>
      <c r="M82" s="175"/>
      <c r="N82" s="176"/>
      <c r="O82" s="359"/>
      <c r="P82" s="365"/>
      <c r="Q82" s="366"/>
      <c r="AH82" s="679" t="s">
        <v>337</v>
      </c>
      <c r="AI82" s="161" t="s">
        <v>336</v>
      </c>
      <c r="AJ82" s="163"/>
      <c r="AK82" s="164"/>
      <c r="AL82" s="163"/>
      <c r="AM82" s="164"/>
      <c r="AN82" s="165"/>
      <c r="AO82" s="166"/>
      <c r="AP82" s="110"/>
      <c r="AQ82" s="110"/>
      <c r="AR82" s="110"/>
    </row>
    <row r="83" spans="2:41" ht="39" thickBot="1">
      <c r="B83" s="177"/>
      <c r="C83" s="178"/>
      <c r="D83" s="271" t="s">
        <v>302</v>
      </c>
      <c r="E83" s="347"/>
      <c r="F83" s="272"/>
      <c r="G83" s="273"/>
      <c r="H83" s="274"/>
      <c r="I83" s="275">
        <f>IF($H83&gt;0,(VLOOKUP($H83,$AQ$5:$AR$7,2,FALSE)),"")</f>
      </c>
      <c r="J83" s="276" t="s">
        <v>208</v>
      </c>
      <c r="K83" s="274"/>
      <c r="L83" s="277">
        <f>IF($K83&gt;0,(VLOOKUP($K83,$AQ$17:$AR$23,2,FALSE)),"")</f>
      </c>
      <c r="M83" s="272"/>
      <c r="N83" s="272"/>
      <c r="O83" s="360" t="s">
        <v>279</v>
      </c>
      <c r="P83" s="365"/>
      <c r="Q83" s="366"/>
      <c r="AH83" s="679" t="s">
        <v>151</v>
      </c>
      <c r="AI83" s="161" t="s">
        <v>337</v>
      </c>
      <c r="AJ83" s="163"/>
      <c r="AK83" s="164"/>
      <c r="AL83" s="163"/>
      <c r="AM83" s="164"/>
      <c r="AN83" s="165"/>
      <c r="AO83" s="166"/>
    </row>
    <row r="84" spans="2:44" ht="25.5">
      <c r="B84" s="198"/>
      <c r="C84" s="576" t="str">
        <f>IF($D84&gt;0,(VLOOKUP($D84,$AH$3:$AO$50,2,FALSE)),"")</f>
        <v>A111</v>
      </c>
      <c r="D84" s="70" t="s">
        <v>126</v>
      </c>
      <c r="E84" s="71">
        <f>L19</f>
        <v>0.45871</v>
      </c>
      <c r="F84" s="59" t="str">
        <f>IF($D84&gt;0,(VLOOKUP($D84,$AH$3:$AO$50,3,FALSE)),"")</f>
        <v>High</v>
      </c>
      <c r="G84" s="214">
        <f aca="true" t="shared" si="18" ref="G84:G98">IF($D84&gt;0,(VLOOKUP($F84,$AQ$5:$AR$10,2,FALSE)),"")</f>
        <v>6</v>
      </c>
      <c r="H84" s="154" t="s">
        <v>70</v>
      </c>
      <c r="I84" s="219">
        <f aca="true" t="shared" si="19" ref="I84:I98">IF($H84&gt;0,(VLOOKUP($H84,$AQ$13:$AR$15,2,FALSE)),"")</f>
        <v>3</v>
      </c>
      <c r="J84" s="718">
        <f>M19</f>
        <v>5.50452</v>
      </c>
      <c r="K84" s="720" t="s">
        <v>90</v>
      </c>
      <c r="L84" s="310">
        <f aca="true" t="shared" si="20" ref="L84:L98">IF($K84&gt;0,(VLOOKUP($K84,$AQ$18:$AR$24,2,FALSE)),"")</f>
        <v>2.4</v>
      </c>
      <c r="M84" s="59" t="str">
        <f>IF($D84&gt;0,(VLOOKUP($D84,$AH$3:$AO$50,7,FALSE)),"")</f>
        <v>Low</v>
      </c>
      <c r="N84" s="214">
        <f aca="true" t="shared" si="21" ref="N84:N98">IF($D84&gt;0,(VLOOKUP($M84,$AQ$27:$AR$31,2,FALSE)),"")</f>
        <v>1</v>
      </c>
      <c r="O84" s="265">
        <f aca="true" t="shared" si="22" ref="O84:O98">IF(D84&gt;0,((E84*G84*I84-J84)/L84/N84),"")</f>
        <v>1.1467750000000003</v>
      </c>
      <c r="P84" s="551" t="s">
        <v>353</v>
      </c>
      <c r="Q84" s="368"/>
      <c r="AH84" s="679" t="s">
        <v>152</v>
      </c>
      <c r="AI84" s="161" t="s">
        <v>151</v>
      </c>
      <c r="AJ84" s="163"/>
      <c r="AK84" s="164"/>
      <c r="AL84" s="163"/>
      <c r="AM84" s="164"/>
      <c r="AN84" s="165"/>
      <c r="AO84" s="164"/>
      <c r="AP84" s="110"/>
      <c r="AQ84" s="110"/>
      <c r="AR84" s="110"/>
    </row>
    <row r="85" spans="2:41" ht="12.75">
      <c r="B85" s="203"/>
      <c r="C85" s="578" t="str">
        <f aca="true" t="shared" si="23" ref="C85:C98">IF($D85&gt;0,(VLOOKUP($D85,$AH$3:$AO$50,2,FALSE)),"")</f>
        <v>B5</v>
      </c>
      <c r="D85" s="72" t="s">
        <v>162</v>
      </c>
      <c r="E85" s="73">
        <f>L22</f>
        <v>0.13457</v>
      </c>
      <c r="F85" s="60" t="str">
        <f aca="true" t="shared" si="24" ref="F85:F98">IF($D85&gt;0,(VLOOKUP($D85,$AH$3:$AO$50,3,FALSE)),"")</f>
        <v>High</v>
      </c>
      <c r="G85" s="217">
        <f t="shared" si="18"/>
        <v>6</v>
      </c>
      <c r="H85" s="714" t="s">
        <v>53</v>
      </c>
      <c r="I85" s="220">
        <f t="shared" si="19"/>
        <v>2</v>
      </c>
      <c r="J85" s="179">
        <f>M22</f>
        <v>0.80742</v>
      </c>
      <c r="K85" s="157" t="s">
        <v>86</v>
      </c>
      <c r="L85" s="311">
        <f t="shared" si="20"/>
        <v>1.2</v>
      </c>
      <c r="M85" s="60" t="str">
        <f aca="true" t="shared" si="25" ref="M85:M98">IF($D85&gt;0,(VLOOKUP($D85,$AH$3:$AO$50,7,FALSE)),"")</f>
        <v>Medium</v>
      </c>
      <c r="N85" s="217">
        <f t="shared" si="21"/>
        <v>1.5</v>
      </c>
      <c r="O85" s="705">
        <f t="shared" si="22"/>
        <v>0.4485666666666667</v>
      </c>
      <c r="P85" s="546" t="s">
        <v>354</v>
      </c>
      <c r="Q85" s="158"/>
      <c r="AH85" s="679" t="s">
        <v>153</v>
      </c>
      <c r="AI85" s="161" t="s">
        <v>152</v>
      </c>
      <c r="AJ85" s="163"/>
      <c r="AK85" s="164"/>
      <c r="AL85" s="163"/>
      <c r="AM85" s="164"/>
      <c r="AN85" s="163"/>
      <c r="AO85" s="166"/>
    </row>
    <row r="86" spans="2:41" ht="12.75">
      <c r="B86" s="203"/>
      <c r="C86" s="578" t="str">
        <f t="shared" si="23"/>
        <v>B21</v>
      </c>
      <c r="D86" s="72" t="s">
        <v>154</v>
      </c>
      <c r="E86" s="73">
        <f>L16+L17</f>
        <v>6.70183</v>
      </c>
      <c r="F86" s="60" t="str">
        <f t="shared" si="24"/>
        <v>High</v>
      </c>
      <c r="G86" s="217">
        <f t="shared" si="18"/>
        <v>6</v>
      </c>
      <c r="H86" s="714" t="s">
        <v>53</v>
      </c>
      <c r="I86" s="220">
        <f t="shared" si="19"/>
        <v>2</v>
      </c>
      <c r="J86" s="179">
        <f>M17+M16</f>
        <v>29.96342</v>
      </c>
      <c r="K86" s="721" t="s">
        <v>87</v>
      </c>
      <c r="L86" s="311">
        <f t="shared" si="20"/>
        <v>1.4</v>
      </c>
      <c r="M86" s="60" t="str">
        <f t="shared" si="25"/>
        <v>Low</v>
      </c>
      <c r="N86" s="217">
        <f t="shared" si="21"/>
        <v>1</v>
      </c>
      <c r="O86" s="705">
        <f t="shared" si="22"/>
        <v>36.04181428571429</v>
      </c>
      <c r="P86" s="546" t="s">
        <v>355</v>
      </c>
      <c r="Q86" s="158"/>
      <c r="AH86" s="679" t="s">
        <v>154</v>
      </c>
      <c r="AI86" s="161" t="s">
        <v>153</v>
      </c>
      <c r="AJ86" s="163"/>
      <c r="AK86" s="164"/>
      <c r="AL86" s="163"/>
      <c r="AM86" s="164"/>
      <c r="AN86" s="165"/>
      <c r="AO86" s="166"/>
    </row>
    <row r="87" spans="2:41" ht="12.75">
      <c r="B87" s="203"/>
      <c r="C87" s="578" t="str">
        <f t="shared" si="23"/>
        <v>G1</v>
      </c>
      <c r="D87" s="72" t="s">
        <v>168</v>
      </c>
      <c r="E87" s="73">
        <f>L18</f>
        <v>0.01203</v>
      </c>
      <c r="F87" s="60" t="str">
        <f t="shared" si="24"/>
        <v>High</v>
      </c>
      <c r="G87" s="217">
        <f t="shared" si="18"/>
        <v>6</v>
      </c>
      <c r="H87" s="156" t="s">
        <v>70</v>
      </c>
      <c r="I87" s="220">
        <f t="shared" si="19"/>
        <v>3</v>
      </c>
      <c r="J87" s="179">
        <f>M18</f>
        <v>0.14436000000000002</v>
      </c>
      <c r="K87" s="157" t="s">
        <v>86</v>
      </c>
      <c r="L87" s="311">
        <f t="shared" si="20"/>
        <v>1.2</v>
      </c>
      <c r="M87" s="60" t="str">
        <f t="shared" si="25"/>
        <v>Medium</v>
      </c>
      <c r="N87" s="217">
        <f t="shared" si="21"/>
        <v>1.5</v>
      </c>
      <c r="O87" s="705">
        <f t="shared" si="22"/>
        <v>0.0401</v>
      </c>
      <c r="P87" s="546" t="s">
        <v>356</v>
      </c>
      <c r="Q87" s="158"/>
      <c r="AH87" s="679" t="s">
        <v>155</v>
      </c>
      <c r="AI87" s="161" t="s">
        <v>154</v>
      </c>
      <c r="AJ87" s="163"/>
      <c r="AK87" s="164"/>
      <c r="AL87" s="163"/>
      <c r="AM87" s="164"/>
      <c r="AN87" s="165"/>
      <c r="AO87" s="166"/>
    </row>
    <row r="88" spans="2:41" ht="12.75">
      <c r="B88" s="203"/>
      <c r="C88" s="578" t="str">
        <f t="shared" si="23"/>
        <v>F1</v>
      </c>
      <c r="D88" s="72" t="s">
        <v>166</v>
      </c>
      <c r="E88" s="73">
        <f>L20</f>
        <v>0.09548</v>
      </c>
      <c r="F88" s="60" t="str">
        <f t="shared" si="24"/>
        <v>High</v>
      </c>
      <c r="G88" s="217">
        <f t="shared" si="18"/>
        <v>6</v>
      </c>
      <c r="H88" s="714" t="s">
        <v>53</v>
      </c>
      <c r="I88" s="220">
        <f t="shared" si="19"/>
        <v>2</v>
      </c>
      <c r="J88" s="179">
        <f>M20</f>
        <v>0.57288</v>
      </c>
      <c r="K88" s="157" t="s">
        <v>86</v>
      </c>
      <c r="L88" s="311">
        <f t="shared" si="20"/>
        <v>1.2</v>
      </c>
      <c r="M88" s="60" t="str">
        <f t="shared" si="25"/>
        <v>Medium</v>
      </c>
      <c r="N88" s="217">
        <f t="shared" si="21"/>
        <v>1.5</v>
      </c>
      <c r="O88" s="705">
        <f t="shared" si="22"/>
        <v>0.31826666666666664</v>
      </c>
      <c r="P88" s="546" t="s">
        <v>354</v>
      </c>
      <c r="Q88" s="158"/>
      <c r="AH88" s="679" t="s">
        <v>156</v>
      </c>
      <c r="AI88" s="161" t="s">
        <v>155</v>
      </c>
      <c r="AJ88" s="163"/>
      <c r="AK88" s="164"/>
      <c r="AL88" s="163"/>
      <c r="AM88" s="164"/>
      <c r="AN88" s="165"/>
      <c r="AO88" s="166"/>
    </row>
    <row r="89" spans="2:41" ht="12.75">
      <c r="B89" s="203"/>
      <c r="C89" s="578" t="str">
        <f t="shared" si="23"/>
        <v>A22</v>
      </c>
      <c r="D89" s="715" t="s">
        <v>149</v>
      </c>
      <c r="E89" s="716">
        <f>L15</f>
        <v>0.15394</v>
      </c>
      <c r="F89" s="60" t="str">
        <f t="shared" si="24"/>
        <v>Medium</v>
      </c>
      <c r="G89" s="217">
        <f t="shared" si="18"/>
        <v>4</v>
      </c>
      <c r="H89" s="717" t="s">
        <v>70</v>
      </c>
      <c r="I89" s="220">
        <f t="shared" si="19"/>
        <v>3</v>
      </c>
      <c r="J89" s="719">
        <f>M15</f>
        <v>0.46182</v>
      </c>
      <c r="K89" s="722" t="s">
        <v>87</v>
      </c>
      <c r="L89" s="311">
        <f t="shared" si="20"/>
        <v>1.4</v>
      </c>
      <c r="M89" s="60" t="str">
        <f t="shared" si="25"/>
        <v>Low</v>
      </c>
      <c r="N89" s="217">
        <f t="shared" si="21"/>
        <v>1</v>
      </c>
      <c r="O89" s="705">
        <f t="shared" si="22"/>
        <v>0.9896142857142859</v>
      </c>
      <c r="P89" s="723" t="s">
        <v>360</v>
      </c>
      <c r="Q89" s="158"/>
      <c r="AH89" s="679" t="s">
        <v>157</v>
      </c>
      <c r="AI89" s="161" t="s">
        <v>156</v>
      </c>
      <c r="AJ89" s="163"/>
      <c r="AK89" s="164"/>
      <c r="AL89" s="163"/>
      <c r="AM89" s="164"/>
      <c r="AN89" s="165"/>
      <c r="AO89" s="166"/>
    </row>
    <row r="90" spans="2:41" ht="13.5" thickBot="1">
      <c r="B90" s="203"/>
      <c r="C90" s="578">
        <f t="shared" si="23"/>
      </c>
      <c r="D90" s="72"/>
      <c r="E90" s="73"/>
      <c r="F90" s="60">
        <f t="shared" si="24"/>
      </c>
      <c r="G90" s="217">
        <f t="shared" si="18"/>
      </c>
      <c r="H90" s="156"/>
      <c r="I90" s="220">
        <f t="shared" si="19"/>
      </c>
      <c r="J90" s="179"/>
      <c r="K90" s="157"/>
      <c r="L90" s="311">
        <f t="shared" si="20"/>
      </c>
      <c r="M90" s="60">
        <f t="shared" si="25"/>
      </c>
      <c r="N90" s="217">
        <f t="shared" si="21"/>
      </c>
      <c r="O90" s="705">
        <f t="shared" si="22"/>
      </c>
      <c r="P90" s="546"/>
      <c r="Q90" s="158"/>
      <c r="AH90" s="679" t="s">
        <v>162</v>
      </c>
      <c r="AI90" s="161" t="s">
        <v>157</v>
      </c>
      <c r="AJ90" s="163"/>
      <c r="AK90" s="164"/>
      <c r="AL90" s="163"/>
      <c r="AM90" s="164"/>
      <c r="AN90" s="165"/>
      <c r="AO90" s="166"/>
    </row>
    <row r="91" spans="2:41" ht="12.75" hidden="1">
      <c r="B91" s="203"/>
      <c r="C91" s="578">
        <f t="shared" si="23"/>
      </c>
      <c r="D91" s="72"/>
      <c r="E91" s="73"/>
      <c r="F91" s="60">
        <f t="shared" si="24"/>
      </c>
      <c r="G91" s="217">
        <f t="shared" si="18"/>
      </c>
      <c r="H91" s="156"/>
      <c r="I91" s="220">
        <f t="shared" si="19"/>
      </c>
      <c r="J91" s="179"/>
      <c r="K91" s="157"/>
      <c r="L91" s="311">
        <f t="shared" si="20"/>
      </c>
      <c r="M91" s="60">
        <f t="shared" si="25"/>
      </c>
      <c r="N91" s="217">
        <f t="shared" si="21"/>
      </c>
      <c r="O91" s="705">
        <f t="shared" si="22"/>
      </c>
      <c r="P91" s="546"/>
      <c r="Q91" s="158"/>
      <c r="AH91" s="679" t="s">
        <v>210</v>
      </c>
      <c r="AI91" s="161" t="s">
        <v>162</v>
      </c>
      <c r="AJ91" s="163"/>
      <c r="AK91" s="164"/>
      <c r="AL91" s="163"/>
      <c r="AM91" s="164"/>
      <c r="AN91" s="165"/>
      <c r="AO91" s="166"/>
    </row>
    <row r="92" spans="1:65" s="113" customFormat="1" ht="12.75" hidden="1">
      <c r="A92" s="78"/>
      <c r="B92" s="203"/>
      <c r="C92" s="578">
        <f t="shared" si="23"/>
      </c>
      <c r="D92" s="72"/>
      <c r="E92" s="73"/>
      <c r="F92" s="60">
        <f t="shared" si="24"/>
      </c>
      <c r="G92" s="217">
        <f t="shared" si="18"/>
      </c>
      <c r="H92" s="156"/>
      <c r="I92" s="220">
        <f t="shared" si="19"/>
      </c>
      <c r="J92" s="179"/>
      <c r="K92" s="157"/>
      <c r="L92" s="311">
        <f t="shared" si="20"/>
      </c>
      <c r="M92" s="60">
        <f t="shared" si="25"/>
      </c>
      <c r="N92" s="217">
        <f t="shared" si="21"/>
      </c>
      <c r="O92" s="705">
        <f t="shared" si="22"/>
      </c>
      <c r="P92" s="546"/>
      <c r="Q92" s="158"/>
      <c r="R92" s="78"/>
      <c r="S92" s="78"/>
      <c r="T92" s="78"/>
      <c r="U92" s="78"/>
      <c r="V92" s="78"/>
      <c r="W92" s="78"/>
      <c r="X92" s="78"/>
      <c r="Y92" s="78"/>
      <c r="Z92" s="78"/>
      <c r="AA92" s="77"/>
      <c r="AB92" s="77"/>
      <c r="AC92" s="77"/>
      <c r="AD92" s="77"/>
      <c r="AE92" s="77"/>
      <c r="AF92" s="77"/>
      <c r="AG92" s="80"/>
      <c r="AH92" s="679" t="s">
        <v>161</v>
      </c>
      <c r="AI92" s="161" t="s">
        <v>210</v>
      </c>
      <c r="AJ92" s="163"/>
      <c r="AK92" s="164"/>
      <c r="AL92" s="163"/>
      <c r="AM92" s="164"/>
      <c r="AN92" s="165"/>
      <c r="AO92" s="166"/>
      <c r="AP92" s="110"/>
      <c r="AQ92" s="110"/>
      <c r="AR92" s="110"/>
      <c r="AS92" s="110"/>
      <c r="AT92" s="110"/>
      <c r="AU92" s="110"/>
      <c r="AV92" s="110"/>
      <c r="AW92" s="110"/>
      <c r="AX92" s="110"/>
      <c r="AY92" s="110"/>
      <c r="AZ92" s="110"/>
      <c r="BA92" s="110"/>
      <c r="BB92" s="110"/>
      <c r="BC92" s="110"/>
      <c r="BD92" s="110"/>
      <c r="BE92" s="110"/>
      <c r="BF92" s="110"/>
      <c r="BG92" s="110"/>
      <c r="BH92" s="110"/>
      <c r="BI92" s="110"/>
      <c r="BJ92" s="110"/>
      <c r="BK92" s="110"/>
      <c r="BL92" s="110"/>
      <c r="BM92" s="110"/>
    </row>
    <row r="93" spans="2:41" ht="12.75" hidden="1">
      <c r="B93" s="203"/>
      <c r="C93" s="578">
        <f t="shared" si="23"/>
      </c>
      <c r="D93" s="74"/>
      <c r="E93" s="73"/>
      <c r="F93" s="60">
        <f t="shared" si="24"/>
      </c>
      <c r="G93" s="217">
        <f t="shared" si="18"/>
      </c>
      <c r="H93" s="156"/>
      <c r="I93" s="220">
        <f t="shared" si="19"/>
      </c>
      <c r="J93" s="179"/>
      <c r="K93" s="157"/>
      <c r="L93" s="311">
        <f t="shared" si="20"/>
      </c>
      <c r="M93" s="60">
        <f t="shared" si="25"/>
      </c>
      <c r="N93" s="217">
        <f t="shared" si="21"/>
      </c>
      <c r="O93" s="705">
        <f t="shared" si="22"/>
      </c>
      <c r="P93" s="546"/>
      <c r="Q93" s="158"/>
      <c r="AH93" s="679" t="s">
        <v>160</v>
      </c>
      <c r="AI93" s="161" t="s">
        <v>161</v>
      </c>
      <c r="AJ93" s="163"/>
      <c r="AK93" s="164"/>
      <c r="AL93" s="163"/>
      <c r="AM93" s="164"/>
      <c r="AN93" s="165"/>
      <c r="AO93" s="166"/>
    </row>
    <row r="94" spans="1:65" s="113" customFormat="1" ht="12.75" hidden="1">
      <c r="A94" s="78"/>
      <c r="B94" s="203"/>
      <c r="C94" s="578">
        <f t="shared" si="23"/>
      </c>
      <c r="D94" s="72"/>
      <c r="E94" s="73"/>
      <c r="F94" s="60">
        <f t="shared" si="24"/>
      </c>
      <c r="G94" s="217">
        <f t="shared" si="18"/>
      </c>
      <c r="H94" s="156"/>
      <c r="I94" s="220">
        <f t="shared" si="19"/>
      </c>
      <c r="J94" s="179"/>
      <c r="K94" s="157"/>
      <c r="L94" s="311">
        <f t="shared" si="20"/>
      </c>
      <c r="M94" s="60">
        <f t="shared" si="25"/>
      </c>
      <c r="N94" s="217">
        <f t="shared" si="21"/>
      </c>
      <c r="O94" s="705">
        <f t="shared" si="22"/>
      </c>
      <c r="P94" s="546"/>
      <c r="Q94" s="158"/>
      <c r="R94" s="78"/>
      <c r="S94" s="78"/>
      <c r="T94" s="78"/>
      <c r="U94" s="78"/>
      <c r="V94" s="78"/>
      <c r="W94" s="78"/>
      <c r="X94" s="78"/>
      <c r="Y94" s="78"/>
      <c r="Z94" s="78"/>
      <c r="AA94" s="77"/>
      <c r="AB94" s="77"/>
      <c r="AC94" s="77"/>
      <c r="AD94" s="77"/>
      <c r="AE94" s="77"/>
      <c r="AF94" s="77"/>
      <c r="AG94" s="80"/>
      <c r="AH94" s="679" t="s">
        <v>168</v>
      </c>
      <c r="AI94" s="161" t="s">
        <v>168</v>
      </c>
      <c r="AJ94" s="163"/>
      <c r="AK94" s="164"/>
      <c r="AL94" s="163"/>
      <c r="AM94" s="164"/>
      <c r="AN94" s="165"/>
      <c r="AO94" s="166"/>
      <c r="AP94" s="80"/>
      <c r="AQ94" s="80"/>
      <c r="AR94" s="80"/>
      <c r="AS94" s="110"/>
      <c r="AT94" s="110"/>
      <c r="AU94" s="110"/>
      <c r="AV94" s="110"/>
      <c r="AW94" s="110"/>
      <c r="AX94" s="110"/>
      <c r="AY94" s="110"/>
      <c r="AZ94" s="110"/>
      <c r="BA94" s="110"/>
      <c r="BB94" s="110"/>
      <c r="BC94" s="110"/>
      <c r="BD94" s="110"/>
      <c r="BE94" s="110"/>
      <c r="BF94" s="110"/>
      <c r="BG94" s="110"/>
      <c r="BH94" s="110"/>
      <c r="BI94" s="110"/>
      <c r="BJ94" s="110"/>
      <c r="BK94" s="110"/>
      <c r="BL94" s="110"/>
      <c r="BM94" s="110"/>
    </row>
    <row r="95" spans="2:41" ht="12.75" hidden="1">
      <c r="B95" s="203"/>
      <c r="C95" s="578">
        <f t="shared" si="23"/>
      </c>
      <c r="D95" s="72"/>
      <c r="E95" s="73"/>
      <c r="F95" s="60">
        <f t="shared" si="24"/>
      </c>
      <c r="G95" s="217">
        <f t="shared" si="18"/>
      </c>
      <c r="H95" s="156"/>
      <c r="I95" s="220">
        <f t="shared" si="19"/>
      </c>
      <c r="J95" s="179"/>
      <c r="K95" s="157"/>
      <c r="L95" s="311">
        <f t="shared" si="20"/>
      </c>
      <c r="M95" s="60">
        <f t="shared" si="25"/>
      </c>
      <c r="N95" s="217">
        <f t="shared" si="21"/>
      </c>
      <c r="O95" s="705">
        <f t="shared" si="22"/>
      </c>
      <c r="P95" s="546"/>
      <c r="Q95" s="158"/>
      <c r="AH95" s="679" t="s">
        <v>169</v>
      </c>
      <c r="AI95" s="161" t="s">
        <v>169</v>
      </c>
      <c r="AJ95" s="163"/>
      <c r="AK95" s="164"/>
      <c r="AL95" s="163"/>
      <c r="AM95" s="164"/>
      <c r="AN95" s="165"/>
      <c r="AO95" s="166"/>
    </row>
    <row r="96" spans="2:41" ht="12.75" hidden="1">
      <c r="B96" s="203"/>
      <c r="C96" s="578">
        <f t="shared" si="23"/>
      </c>
      <c r="D96" s="72"/>
      <c r="E96" s="73"/>
      <c r="F96" s="60">
        <f t="shared" si="24"/>
      </c>
      <c r="G96" s="217">
        <f t="shared" si="18"/>
      </c>
      <c r="H96" s="156"/>
      <c r="I96" s="220">
        <f t="shared" si="19"/>
      </c>
      <c r="J96" s="179"/>
      <c r="K96" s="157"/>
      <c r="L96" s="311">
        <f t="shared" si="20"/>
      </c>
      <c r="M96" s="60">
        <f t="shared" si="25"/>
      </c>
      <c r="N96" s="217">
        <f t="shared" si="21"/>
      </c>
      <c r="O96" s="705">
        <f t="shared" si="22"/>
      </c>
      <c r="P96" s="546"/>
      <c r="Q96" s="158"/>
      <c r="AH96" s="679" t="s">
        <v>170</v>
      </c>
      <c r="AI96" s="161" t="s">
        <v>170</v>
      </c>
      <c r="AJ96" s="163"/>
      <c r="AK96" s="164"/>
      <c r="AL96" s="163"/>
      <c r="AM96" s="164"/>
      <c r="AN96" s="165"/>
      <c r="AO96" s="166"/>
    </row>
    <row r="97" spans="1:65" s="113" customFormat="1" ht="12.75" hidden="1">
      <c r="A97" s="78"/>
      <c r="B97" s="203"/>
      <c r="C97" s="578">
        <f t="shared" si="23"/>
      </c>
      <c r="D97" s="72"/>
      <c r="E97" s="73"/>
      <c r="F97" s="60">
        <f t="shared" si="24"/>
      </c>
      <c r="G97" s="217">
        <f t="shared" si="18"/>
      </c>
      <c r="H97" s="156"/>
      <c r="I97" s="220">
        <f t="shared" si="19"/>
      </c>
      <c r="J97" s="179"/>
      <c r="K97" s="157"/>
      <c r="L97" s="311">
        <f t="shared" si="20"/>
      </c>
      <c r="M97" s="60">
        <f t="shared" si="25"/>
      </c>
      <c r="N97" s="217">
        <f t="shared" si="21"/>
      </c>
      <c r="O97" s="705">
        <f t="shared" si="22"/>
      </c>
      <c r="P97" s="546"/>
      <c r="Q97" s="158"/>
      <c r="R97" s="78"/>
      <c r="S97" s="78"/>
      <c r="T97" s="78"/>
      <c r="U97" s="78"/>
      <c r="V97" s="78"/>
      <c r="W97" s="78"/>
      <c r="X97" s="78"/>
      <c r="Y97" s="78"/>
      <c r="Z97" s="78"/>
      <c r="AA97" s="77"/>
      <c r="AB97" s="77"/>
      <c r="AC97" s="77"/>
      <c r="AD97" s="77"/>
      <c r="AE97" s="77"/>
      <c r="AF97" s="77"/>
      <c r="AG97" s="80"/>
      <c r="AH97" s="679" t="s">
        <v>163</v>
      </c>
      <c r="AI97" s="161" t="s">
        <v>163</v>
      </c>
      <c r="AJ97" s="163"/>
      <c r="AK97" s="164"/>
      <c r="AL97" s="163"/>
      <c r="AM97" s="164"/>
      <c r="AN97" s="165"/>
      <c r="AO97" s="166"/>
      <c r="AP97" s="80"/>
      <c r="AQ97" s="80"/>
      <c r="AR97" s="80"/>
      <c r="AS97" s="110"/>
      <c r="AT97" s="110"/>
      <c r="AU97" s="110"/>
      <c r="AV97" s="110"/>
      <c r="AW97" s="110"/>
      <c r="AX97" s="110"/>
      <c r="AY97" s="110"/>
      <c r="AZ97" s="110"/>
      <c r="BA97" s="110"/>
      <c r="BB97" s="110"/>
      <c r="BC97" s="110"/>
      <c r="BD97" s="110"/>
      <c r="BE97" s="110"/>
      <c r="BF97" s="110"/>
      <c r="BG97" s="110"/>
      <c r="BH97" s="110"/>
      <c r="BI97" s="110"/>
      <c r="BJ97" s="110"/>
      <c r="BK97" s="110"/>
      <c r="BL97" s="110"/>
      <c r="BM97" s="110"/>
    </row>
    <row r="98" spans="2:41" ht="13.5" hidden="1" thickBot="1">
      <c r="B98" s="552"/>
      <c r="C98" s="580">
        <f t="shared" si="23"/>
      </c>
      <c r="D98" s="75"/>
      <c r="E98" s="76"/>
      <c r="F98" s="61">
        <f t="shared" si="24"/>
      </c>
      <c r="G98" s="218">
        <f t="shared" si="18"/>
      </c>
      <c r="H98" s="167"/>
      <c r="I98" s="221">
        <f t="shared" si="19"/>
      </c>
      <c r="J98" s="180"/>
      <c r="K98" s="168"/>
      <c r="L98" s="312">
        <f t="shared" si="20"/>
      </c>
      <c r="M98" s="61">
        <f t="shared" si="25"/>
      </c>
      <c r="N98" s="218">
        <f t="shared" si="21"/>
      </c>
      <c r="O98" s="706">
        <f t="shared" si="22"/>
      </c>
      <c r="P98" s="547"/>
      <c r="Q98" s="369"/>
      <c r="AH98" s="679" t="s">
        <v>164</v>
      </c>
      <c r="AI98" s="161" t="s">
        <v>164</v>
      </c>
      <c r="AJ98" s="163"/>
      <c r="AK98" s="164"/>
      <c r="AL98" s="163"/>
      <c r="AM98" s="164"/>
      <c r="AN98" s="165"/>
      <c r="AO98" s="166"/>
    </row>
    <row r="99" spans="2:41" ht="13.5" customHeight="1" thickBot="1">
      <c r="B99" s="497"/>
      <c r="C99" s="170"/>
      <c r="D99" s="553" t="s">
        <v>111</v>
      </c>
      <c r="E99" s="541">
        <f>SUM(E84:E98)</f>
        <v>7.556560000000001</v>
      </c>
      <c r="F99" s="171">
        <f>IF($E$99&lt;&gt;$L$45,"ERROR - Total area of habitats enhancement must equal total area of habitats to be enhanced, above","")</f>
      </c>
      <c r="G99" s="514"/>
      <c r="H99" s="596"/>
      <c r="I99" s="596"/>
      <c r="J99" s="596"/>
      <c r="K99" s="597"/>
      <c r="L99" s="598"/>
      <c r="M99" s="269"/>
      <c r="N99" s="268" t="s">
        <v>213</v>
      </c>
      <c r="O99" s="599">
        <f>'Habitat trading down correction'!J86</f>
        <v>-2.49492</v>
      </c>
      <c r="P99" s="485"/>
      <c r="Q99" s="135"/>
      <c r="AA99" s="78"/>
      <c r="AB99" s="78"/>
      <c r="AC99" s="78"/>
      <c r="AD99" s="78"/>
      <c r="AE99" s="78"/>
      <c r="AF99" s="78"/>
      <c r="AG99" s="110"/>
      <c r="AH99" s="679" t="s">
        <v>165</v>
      </c>
      <c r="AI99" s="161" t="s">
        <v>165</v>
      </c>
      <c r="AJ99" s="163"/>
      <c r="AK99" s="164"/>
      <c r="AL99" s="163"/>
      <c r="AM99" s="164"/>
      <c r="AN99" s="165"/>
      <c r="AO99" s="164"/>
    </row>
    <row r="100" spans="2:41" ht="12.75" customHeight="1" thickBot="1">
      <c r="B100" s="557"/>
      <c r="C100" s="182"/>
      <c r="D100" s="558"/>
      <c r="E100" s="558"/>
      <c r="F100" s="559">
        <f>IF(($E$99&gt;0)*AND(SUM($J$84:$J$98)&lt;&gt;$M$45),"ERROR - Please enter respective existing values for habitats to be enhanced","")</f>
      </c>
      <c r="G100" s="182"/>
      <c r="H100" s="182"/>
      <c r="I100" s="182"/>
      <c r="J100" s="558"/>
      <c r="K100" s="600"/>
      <c r="L100" s="601"/>
      <c r="M100" s="602"/>
      <c r="N100" s="562" t="s">
        <v>251</v>
      </c>
      <c r="O100" s="603">
        <f>SUM(O67:O99)</f>
        <v>57.331365476190484</v>
      </c>
      <c r="P100" s="557"/>
      <c r="Q100" s="361"/>
      <c r="AH100" s="679" t="s">
        <v>166</v>
      </c>
      <c r="AI100" s="161" t="s">
        <v>166</v>
      </c>
      <c r="AJ100" s="163"/>
      <c r="AK100" s="164"/>
      <c r="AL100" s="163"/>
      <c r="AM100" s="164"/>
      <c r="AN100" s="163"/>
      <c r="AO100" s="164"/>
    </row>
    <row r="101" spans="2:41" ht="26.25" thickBot="1">
      <c r="B101" s="186"/>
      <c r="C101" s="115"/>
      <c r="D101" s="115"/>
      <c r="E101" s="115"/>
      <c r="F101" s="115"/>
      <c r="G101" s="115"/>
      <c r="H101" s="115"/>
      <c r="I101" s="115"/>
      <c r="J101" s="483"/>
      <c r="K101" s="483"/>
      <c r="L101" s="521"/>
      <c r="M101" s="537"/>
      <c r="N101" s="565"/>
      <c r="O101" s="566" t="s">
        <v>276</v>
      </c>
      <c r="P101" s="567"/>
      <c r="AH101" s="679" t="s">
        <v>167</v>
      </c>
      <c r="AI101" s="161" t="s">
        <v>167</v>
      </c>
      <c r="AJ101" s="163"/>
      <c r="AK101" s="164"/>
      <c r="AL101" s="163"/>
      <c r="AM101" s="164"/>
      <c r="AN101" s="163"/>
      <c r="AO101" s="166"/>
    </row>
    <row r="102" spans="2:41" ht="13.5" thickBot="1">
      <c r="B102" s="186"/>
      <c r="C102" s="115"/>
      <c r="D102" s="542"/>
      <c r="E102" s="115"/>
      <c r="F102" s="115"/>
      <c r="G102" s="115"/>
      <c r="H102" s="483"/>
      <c r="I102" s="483"/>
      <c r="J102" s="483"/>
      <c r="K102" s="483"/>
      <c r="L102" s="604"/>
      <c r="M102" s="605"/>
      <c r="N102" s="569" t="s">
        <v>275</v>
      </c>
      <c r="O102" s="606">
        <f>(O100-O61)</f>
        <v>19.74407547619048</v>
      </c>
      <c r="P102" s="609" t="str">
        <f>IF($O$102&lt;0,"Loss",IF($O$102&gt;0,"Gain",""))</f>
        <v>Gain</v>
      </c>
      <c r="Q102" s="78"/>
      <c r="AH102" s="679" t="s">
        <v>188</v>
      </c>
      <c r="AI102" s="161" t="s">
        <v>188</v>
      </c>
      <c r="AJ102" s="163"/>
      <c r="AK102" s="164"/>
      <c r="AL102" s="163"/>
      <c r="AM102" s="164"/>
      <c r="AN102" s="165"/>
      <c r="AO102" s="166"/>
    </row>
    <row r="103" spans="2:41" ht="13.5" thickBot="1">
      <c r="B103" s="186"/>
      <c r="C103" s="115"/>
      <c r="D103" s="542"/>
      <c r="E103" s="483"/>
      <c r="F103" s="483"/>
      <c r="G103" s="483"/>
      <c r="H103" s="483"/>
      <c r="I103" s="483"/>
      <c r="J103" s="483"/>
      <c r="K103" s="483"/>
      <c r="L103" s="607"/>
      <c r="M103" s="608"/>
      <c r="N103" s="348" t="s">
        <v>254</v>
      </c>
      <c r="O103" s="610">
        <f>IF(O102&lt;0,-(100/O61)*O102,"")</f>
      </c>
      <c r="P103" s="575"/>
      <c r="Q103" s="77"/>
      <c r="AH103" s="679" t="s">
        <v>189</v>
      </c>
      <c r="AI103" s="161" t="s">
        <v>189</v>
      </c>
      <c r="AJ103" s="163"/>
      <c r="AK103" s="164"/>
      <c r="AL103" s="163"/>
      <c r="AM103" s="164"/>
      <c r="AN103" s="165"/>
      <c r="AO103" s="164"/>
    </row>
    <row r="104" spans="2:41" ht="13.5" thickBot="1">
      <c r="B104" s="105"/>
      <c r="C104" s="77"/>
      <c r="D104" s="78"/>
      <c r="E104" s="78"/>
      <c r="F104" s="78"/>
      <c r="G104" s="78"/>
      <c r="H104" s="78"/>
      <c r="I104" s="78"/>
      <c r="J104" s="78"/>
      <c r="K104" s="78"/>
      <c r="L104" s="78"/>
      <c r="M104" s="78"/>
      <c r="N104" s="78"/>
      <c r="O104" s="77"/>
      <c r="P104" s="77"/>
      <c r="Q104" s="78"/>
      <c r="AH104" s="679" t="s">
        <v>190</v>
      </c>
      <c r="AI104" s="161" t="s">
        <v>190</v>
      </c>
      <c r="AJ104" s="163"/>
      <c r="AK104" s="164"/>
      <c r="AL104" s="163"/>
      <c r="AM104" s="164"/>
      <c r="AN104" s="163"/>
      <c r="AO104" s="166"/>
    </row>
    <row r="105" spans="2:41" ht="13.5" thickBot="1">
      <c r="B105" s="105"/>
      <c r="C105" s="293" t="s">
        <v>5</v>
      </c>
      <c r="D105" s="294"/>
      <c r="E105" s="78"/>
      <c r="F105" s="77"/>
      <c r="G105" s="77"/>
      <c r="H105" s="78"/>
      <c r="I105" s="78"/>
      <c r="J105" s="78"/>
      <c r="K105" s="78"/>
      <c r="L105" s="78"/>
      <c r="M105" s="78"/>
      <c r="N105" s="78"/>
      <c r="O105" s="78"/>
      <c r="P105" s="78"/>
      <c r="Q105" s="78"/>
      <c r="AH105" s="679" t="s">
        <v>138</v>
      </c>
      <c r="AI105" s="161" t="s">
        <v>138</v>
      </c>
      <c r="AJ105" s="163"/>
      <c r="AK105" s="164"/>
      <c r="AL105" s="163"/>
      <c r="AM105" s="164"/>
      <c r="AN105" s="165"/>
      <c r="AO105" s="166"/>
    </row>
    <row r="106" spans="2:41" ht="12.75">
      <c r="B106" s="105"/>
      <c r="C106" s="295"/>
      <c r="D106" s="296" t="s">
        <v>81</v>
      </c>
      <c r="E106" s="78"/>
      <c r="F106" s="77"/>
      <c r="G106" s="77"/>
      <c r="H106" s="78"/>
      <c r="I106" s="78"/>
      <c r="J106" s="78"/>
      <c r="K106" s="78"/>
      <c r="L106" s="78"/>
      <c r="M106" s="78"/>
      <c r="N106" s="78"/>
      <c r="O106" s="78"/>
      <c r="P106" s="78"/>
      <c r="Q106" s="78"/>
      <c r="AH106" s="679" t="s">
        <v>137</v>
      </c>
      <c r="AI106" s="161" t="s">
        <v>137</v>
      </c>
      <c r="AJ106" s="163"/>
      <c r="AK106" s="164"/>
      <c r="AL106" s="163"/>
      <c r="AM106" s="164"/>
      <c r="AN106" s="165"/>
      <c r="AO106" s="166"/>
    </row>
    <row r="107" spans="2:41" ht="12.75">
      <c r="B107" s="105"/>
      <c r="C107" s="297"/>
      <c r="D107" s="298" t="s">
        <v>74</v>
      </c>
      <c r="E107" s="78"/>
      <c r="F107" s="77"/>
      <c r="G107" s="77"/>
      <c r="H107" s="78"/>
      <c r="I107" s="78"/>
      <c r="J107" s="78"/>
      <c r="K107" s="78"/>
      <c r="L107" s="78"/>
      <c r="M107" s="78"/>
      <c r="N107" s="78"/>
      <c r="O107" s="78"/>
      <c r="P107" s="78"/>
      <c r="Q107" s="78"/>
      <c r="AH107" s="679" t="s">
        <v>329</v>
      </c>
      <c r="AI107" s="161" t="s">
        <v>140</v>
      </c>
      <c r="AJ107" s="163"/>
      <c r="AK107" s="164"/>
      <c r="AL107" s="163"/>
      <c r="AM107" s="164"/>
      <c r="AN107" s="165"/>
      <c r="AO107" s="166"/>
    </row>
    <row r="108" spans="2:41" ht="13.5" thickBot="1">
      <c r="B108" s="105"/>
      <c r="C108" s="299"/>
      <c r="D108" s="298" t="s">
        <v>122</v>
      </c>
      <c r="E108" s="78"/>
      <c r="F108" s="77"/>
      <c r="G108" s="77"/>
      <c r="H108" s="78"/>
      <c r="I108" s="78"/>
      <c r="J108" s="78"/>
      <c r="K108" s="78"/>
      <c r="L108" s="78"/>
      <c r="M108" s="78"/>
      <c r="N108" s="78"/>
      <c r="O108" s="78"/>
      <c r="P108" s="78"/>
      <c r="Q108" s="78"/>
      <c r="AH108" s="679" t="s">
        <v>134</v>
      </c>
      <c r="AI108" s="682" t="s">
        <v>327</v>
      </c>
      <c r="AJ108" s="163"/>
      <c r="AK108" s="164"/>
      <c r="AL108" s="163"/>
      <c r="AM108" s="164"/>
      <c r="AN108" s="165"/>
      <c r="AO108" s="166"/>
    </row>
    <row r="109" spans="2:41" ht="12.75">
      <c r="B109" s="105"/>
      <c r="C109" s="300"/>
      <c r="D109" s="298" t="s">
        <v>7</v>
      </c>
      <c r="E109" s="78"/>
      <c r="F109" s="77"/>
      <c r="G109" s="77"/>
      <c r="H109" s="78"/>
      <c r="I109" s="78"/>
      <c r="J109" s="78"/>
      <c r="K109" s="78"/>
      <c r="L109" s="78"/>
      <c r="M109" s="78"/>
      <c r="N109" s="78"/>
      <c r="O109" s="78"/>
      <c r="P109" s="78"/>
      <c r="Q109" s="78"/>
      <c r="AH109" s="161" t="s">
        <v>135</v>
      </c>
      <c r="AI109" s="684"/>
      <c r="AJ109" s="163"/>
      <c r="AK109" s="164"/>
      <c r="AL109" s="163"/>
      <c r="AM109" s="164"/>
      <c r="AN109" s="165"/>
      <c r="AO109" s="166"/>
    </row>
    <row r="110" spans="2:41" ht="13.5" thickBot="1">
      <c r="B110" s="105"/>
      <c r="C110" s="301"/>
      <c r="D110" s="298" t="s">
        <v>73</v>
      </c>
      <c r="E110" s="78"/>
      <c r="F110" s="78"/>
      <c r="G110" s="78"/>
      <c r="H110" s="78"/>
      <c r="I110" s="78"/>
      <c r="J110" s="78"/>
      <c r="K110" s="78"/>
      <c r="L110" s="78"/>
      <c r="M110" s="78"/>
      <c r="N110" s="78"/>
      <c r="O110" s="78"/>
      <c r="P110" s="78"/>
      <c r="Q110" s="78"/>
      <c r="AH110" s="161" t="s">
        <v>139</v>
      </c>
      <c r="AI110" s="684"/>
      <c r="AJ110" s="163"/>
      <c r="AK110" s="164"/>
      <c r="AL110" s="163"/>
      <c r="AM110" s="164"/>
      <c r="AN110" s="165"/>
      <c r="AO110" s="166"/>
    </row>
    <row r="111" spans="2:41" ht="12.75">
      <c r="B111" s="77"/>
      <c r="C111" s="304" t="s">
        <v>105</v>
      </c>
      <c r="D111" s="767" t="s">
        <v>8</v>
      </c>
      <c r="E111" s="306"/>
      <c r="F111" s="307" t="s">
        <v>82</v>
      </c>
      <c r="G111" s="184"/>
      <c r="H111" s="78"/>
      <c r="I111" s="78"/>
      <c r="J111" s="78"/>
      <c r="K111" s="78"/>
      <c r="L111" s="78"/>
      <c r="M111" s="78"/>
      <c r="N111" s="78"/>
      <c r="O111" s="78"/>
      <c r="P111" s="78"/>
      <c r="Q111" s="78"/>
      <c r="AH111" s="161" t="s">
        <v>140</v>
      </c>
      <c r="AI111" s="684"/>
      <c r="AJ111" s="163"/>
      <c r="AK111" s="164"/>
      <c r="AL111" s="163"/>
      <c r="AM111" s="164"/>
      <c r="AN111" s="165"/>
      <c r="AO111" s="166"/>
    </row>
    <row r="112" spans="2:41" ht="13.5" thickBot="1">
      <c r="B112" s="77"/>
      <c r="C112" s="305"/>
      <c r="D112" s="768"/>
      <c r="E112" s="308"/>
      <c r="F112" s="309" t="s">
        <v>83</v>
      </c>
      <c r="G112" s="185"/>
      <c r="H112" s="78"/>
      <c r="I112" s="78"/>
      <c r="J112" s="78"/>
      <c r="K112" s="78"/>
      <c r="L112" s="78"/>
      <c r="M112" s="78"/>
      <c r="N112" s="78"/>
      <c r="O112" s="78"/>
      <c r="P112" s="78"/>
      <c r="Q112" s="78"/>
      <c r="AH112" s="676" t="s">
        <v>327</v>
      </c>
      <c r="AI112" s="685"/>
      <c r="AJ112" s="163"/>
      <c r="AK112" s="164"/>
      <c r="AL112" s="163"/>
      <c r="AM112" s="164"/>
      <c r="AN112" s="165"/>
      <c r="AO112" s="164"/>
    </row>
    <row r="113" spans="2:41" ht="13.5" thickBot="1">
      <c r="B113" s="77"/>
      <c r="C113" s="186" t="s">
        <v>105</v>
      </c>
      <c r="D113" s="78"/>
      <c r="E113" s="78"/>
      <c r="F113" s="78"/>
      <c r="G113" s="78"/>
      <c r="H113" s="78"/>
      <c r="I113" s="78"/>
      <c r="J113" s="78"/>
      <c r="K113" s="78"/>
      <c r="L113" s="78"/>
      <c r="M113" s="78"/>
      <c r="N113" s="78"/>
      <c r="O113" s="78"/>
      <c r="P113" s="78"/>
      <c r="Q113" s="78"/>
      <c r="AH113" s="670" t="s">
        <v>69</v>
      </c>
      <c r="AI113" s="670" t="s">
        <v>69</v>
      </c>
      <c r="AJ113" s="163"/>
      <c r="AK113" s="164"/>
      <c r="AL113" s="163"/>
      <c r="AM113" s="164"/>
      <c r="AN113" s="163"/>
      <c r="AO113" s="166"/>
    </row>
    <row r="114" spans="2:41" ht="12.75">
      <c r="B114" s="77"/>
      <c r="C114" s="105"/>
      <c r="D114" s="78"/>
      <c r="E114" s="78"/>
      <c r="F114" s="78"/>
      <c r="G114" s="78"/>
      <c r="H114" s="78"/>
      <c r="I114" s="78"/>
      <c r="J114" s="78"/>
      <c r="K114" s="78"/>
      <c r="L114" s="78"/>
      <c r="M114" s="78"/>
      <c r="N114" s="78"/>
      <c r="O114" s="78"/>
      <c r="P114" s="78"/>
      <c r="Q114" s="78"/>
      <c r="AH114" s="160" t="s">
        <v>185</v>
      </c>
      <c r="AI114" s="160" t="s">
        <v>185</v>
      </c>
      <c r="AJ114" s="163"/>
      <c r="AK114" s="164"/>
      <c r="AL114" s="163"/>
      <c r="AM114" s="164"/>
      <c r="AN114" s="165"/>
      <c r="AO114" s="166"/>
    </row>
    <row r="115" spans="2:41" ht="12.75">
      <c r="B115" s="77"/>
      <c r="C115" s="77"/>
      <c r="D115" s="78"/>
      <c r="E115" s="78"/>
      <c r="F115" s="78"/>
      <c r="G115" s="78"/>
      <c r="H115" s="78"/>
      <c r="I115" s="78"/>
      <c r="J115" s="78"/>
      <c r="K115" s="78"/>
      <c r="L115" s="78"/>
      <c r="M115" s="78"/>
      <c r="N115" s="78"/>
      <c r="O115" s="78"/>
      <c r="P115" s="78"/>
      <c r="Q115" s="78"/>
      <c r="AH115" s="161" t="s">
        <v>184</v>
      </c>
      <c r="AI115" s="161" t="s">
        <v>184</v>
      </c>
      <c r="AJ115" s="163"/>
      <c r="AK115" s="164"/>
      <c r="AL115" s="163"/>
      <c r="AM115" s="164"/>
      <c r="AN115" s="165"/>
      <c r="AO115" s="164"/>
    </row>
    <row r="116" spans="2:41" ht="12.75">
      <c r="B116" s="77"/>
      <c r="C116" s="77"/>
      <c r="D116" s="78"/>
      <c r="E116" s="78"/>
      <c r="F116" s="78"/>
      <c r="G116" s="78"/>
      <c r="H116" s="78"/>
      <c r="I116" s="78"/>
      <c r="J116" s="78"/>
      <c r="K116" s="78"/>
      <c r="L116" s="78"/>
      <c r="M116" s="78"/>
      <c r="N116" s="78"/>
      <c r="O116" s="78"/>
      <c r="P116" s="78"/>
      <c r="Q116" s="78"/>
      <c r="AH116" s="161" t="s">
        <v>182</v>
      </c>
      <c r="AI116" s="161" t="s">
        <v>182</v>
      </c>
      <c r="AJ116" s="163"/>
      <c r="AK116" s="164"/>
      <c r="AL116" s="163"/>
      <c r="AM116" s="164"/>
      <c r="AN116" s="163"/>
      <c r="AO116" s="166"/>
    </row>
    <row r="117" spans="2:41" ht="12.75">
      <c r="B117" s="77"/>
      <c r="C117" s="77"/>
      <c r="D117" s="78"/>
      <c r="E117" s="78"/>
      <c r="F117" s="78"/>
      <c r="G117" s="78"/>
      <c r="H117" s="78"/>
      <c r="I117" s="78"/>
      <c r="J117" s="78"/>
      <c r="K117" s="78"/>
      <c r="L117" s="78"/>
      <c r="M117" s="78"/>
      <c r="N117" s="78"/>
      <c r="O117" s="78"/>
      <c r="P117" s="78"/>
      <c r="Q117" s="78"/>
      <c r="AH117" s="161" t="s">
        <v>181</v>
      </c>
      <c r="AI117" s="161" t="s">
        <v>181</v>
      </c>
      <c r="AJ117" s="163"/>
      <c r="AK117" s="164"/>
      <c r="AL117" s="163"/>
      <c r="AM117" s="164"/>
      <c r="AN117" s="165"/>
      <c r="AO117" s="164"/>
    </row>
    <row r="118" spans="2:41" ht="12.75">
      <c r="B118" s="77"/>
      <c r="C118" s="77"/>
      <c r="D118" s="78"/>
      <c r="E118" s="78"/>
      <c r="F118" s="78"/>
      <c r="G118" s="78"/>
      <c r="H118" s="78"/>
      <c r="I118" s="78"/>
      <c r="J118" s="78"/>
      <c r="K118" s="78"/>
      <c r="L118" s="78"/>
      <c r="M118" s="78"/>
      <c r="N118" s="78"/>
      <c r="O118" s="78"/>
      <c r="P118" s="78"/>
      <c r="Q118" s="78"/>
      <c r="AH118" s="161" t="s">
        <v>187</v>
      </c>
      <c r="AI118" s="161" t="s">
        <v>187</v>
      </c>
      <c r="AJ118" s="163"/>
      <c r="AK118" s="164"/>
      <c r="AL118" s="163"/>
      <c r="AM118" s="164"/>
      <c r="AN118" s="163"/>
      <c r="AO118" s="164"/>
    </row>
    <row r="119" spans="2:41" ht="12.75">
      <c r="B119" s="77"/>
      <c r="C119" s="77"/>
      <c r="D119" s="78"/>
      <c r="E119" s="78"/>
      <c r="F119" s="78"/>
      <c r="G119" s="78"/>
      <c r="H119" s="78"/>
      <c r="I119" s="78"/>
      <c r="J119" s="78"/>
      <c r="K119" s="78"/>
      <c r="L119" s="78"/>
      <c r="M119" s="78"/>
      <c r="N119" s="78"/>
      <c r="O119" s="78"/>
      <c r="P119" s="78"/>
      <c r="Q119" s="78"/>
      <c r="AH119" s="161" t="s">
        <v>186</v>
      </c>
      <c r="AI119" s="161" t="s">
        <v>186</v>
      </c>
      <c r="AJ119" s="163"/>
      <c r="AK119" s="164"/>
      <c r="AL119" s="163"/>
      <c r="AM119" s="164"/>
      <c r="AN119" s="163"/>
      <c r="AO119" s="166"/>
    </row>
    <row r="120" spans="2:41" ht="12.75">
      <c r="B120" s="77"/>
      <c r="C120" s="77"/>
      <c r="D120" s="78"/>
      <c r="E120" s="78"/>
      <c r="F120" s="78"/>
      <c r="G120" s="78"/>
      <c r="H120" s="78"/>
      <c r="I120" s="78"/>
      <c r="J120" s="78"/>
      <c r="K120" s="78"/>
      <c r="L120" s="78"/>
      <c r="M120" s="78"/>
      <c r="N120" s="78"/>
      <c r="O120" s="78"/>
      <c r="P120" s="78"/>
      <c r="Q120" s="78"/>
      <c r="AH120" s="161" t="s">
        <v>292</v>
      </c>
      <c r="AI120" s="161" t="s">
        <v>180</v>
      </c>
      <c r="AJ120" s="162"/>
      <c r="AK120" s="162"/>
      <c r="AL120" s="163"/>
      <c r="AM120" s="164"/>
      <c r="AN120" s="165"/>
      <c r="AO120" s="166"/>
    </row>
    <row r="121" spans="2:41" ht="12.75">
      <c r="B121" s="77"/>
      <c r="C121" s="77"/>
      <c r="D121" s="78"/>
      <c r="E121" s="78"/>
      <c r="F121" s="78"/>
      <c r="G121" s="78"/>
      <c r="H121" s="78"/>
      <c r="I121" s="78"/>
      <c r="J121" s="78"/>
      <c r="K121" s="78"/>
      <c r="L121" s="78"/>
      <c r="M121" s="78"/>
      <c r="N121" s="78"/>
      <c r="O121" s="78"/>
      <c r="P121" s="78"/>
      <c r="Q121" s="78"/>
      <c r="AH121" s="161" t="s">
        <v>180</v>
      </c>
      <c r="AI121" s="161" t="s">
        <v>179</v>
      </c>
      <c r="AJ121" s="163"/>
      <c r="AK121" s="164"/>
      <c r="AL121" s="163"/>
      <c r="AM121" s="164"/>
      <c r="AN121" s="165"/>
      <c r="AO121" s="166"/>
    </row>
    <row r="122" spans="2:41" ht="12.75">
      <c r="B122" s="77"/>
      <c r="C122" s="77"/>
      <c r="D122" s="78"/>
      <c r="E122" s="78"/>
      <c r="F122" s="78"/>
      <c r="G122" s="78"/>
      <c r="H122" s="78"/>
      <c r="I122" s="78"/>
      <c r="J122" s="78"/>
      <c r="K122" s="78"/>
      <c r="L122" s="78"/>
      <c r="M122" s="78"/>
      <c r="N122" s="78"/>
      <c r="O122" s="78"/>
      <c r="P122" s="78"/>
      <c r="Q122" s="78"/>
      <c r="AH122" s="161" t="s">
        <v>179</v>
      </c>
      <c r="AI122" s="161" t="s">
        <v>176</v>
      </c>
      <c r="AJ122" s="163"/>
      <c r="AK122" s="164"/>
      <c r="AL122" s="163"/>
      <c r="AM122" s="164"/>
      <c r="AN122" s="165"/>
      <c r="AO122" s="166"/>
    </row>
    <row r="123" spans="2:41" ht="12.75">
      <c r="B123" s="77"/>
      <c r="C123" s="77"/>
      <c r="D123" s="78"/>
      <c r="E123" s="78"/>
      <c r="F123" s="78"/>
      <c r="G123" s="78"/>
      <c r="H123" s="78"/>
      <c r="I123" s="78"/>
      <c r="J123" s="78"/>
      <c r="K123" s="78"/>
      <c r="L123" s="78"/>
      <c r="M123" s="78"/>
      <c r="N123" s="78"/>
      <c r="O123" s="78"/>
      <c r="P123" s="78"/>
      <c r="Q123" s="78"/>
      <c r="AH123" s="161" t="s">
        <v>176</v>
      </c>
      <c r="AI123" s="161" t="s">
        <v>175</v>
      </c>
      <c r="AJ123" s="163"/>
      <c r="AK123" s="164"/>
      <c r="AL123" s="163"/>
      <c r="AM123" s="164"/>
      <c r="AN123" s="165"/>
      <c r="AO123" s="166"/>
    </row>
    <row r="124" spans="2:41" ht="12.75">
      <c r="B124" s="77"/>
      <c r="C124" s="77"/>
      <c r="D124" s="78"/>
      <c r="E124" s="78"/>
      <c r="F124" s="78"/>
      <c r="G124" s="78"/>
      <c r="H124" s="78"/>
      <c r="I124" s="78"/>
      <c r="J124" s="78"/>
      <c r="K124" s="78"/>
      <c r="L124" s="78"/>
      <c r="M124" s="78"/>
      <c r="N124" s="78"/>
      <c r="O124" s="78"/>
      <c r="P124" s="78"/>
      <c r="Q124" s="78"/>
      <c r="AH124" s="161" t="s">
        <v>173</v>
      </c>
      <c r="AI124" s="161" t="s">
        <v>177</v>
      </c>
      <c r="AJ124" s="163"/>
      <c r="AK124" s="164"/>
      <c r="AL124" s="163"/>
      <c r="AM124" s="164"/>
      <c r="AN124" s="165"/>
      <c r="AO124" s="166"/>
    </row>
    <row r="125" spans="2:41" ht="12.75">
      <c r="B125" s="77"/>
      <c r="C125" s="77"/>
      <c r="D125" s="78"/>
      <c r="E125" s="78"/>
      <c r="F125" s="78"/>
      <c r="G125" s="78"/>
      <c r="H125" s="78"/>
      <c r="I125" s="78"/>
      <c r="J125" s="78"/>
      <c r="K125" s="78"/>
      <c r="L125" s="78"/>
      <c r="M125" s="78"/>
      <c r="N125" s="78"/>
      <c r="O125" s="78"/>
      <c r="P125" s="78"/>
      <c r="Q125" s="78"/>
      <c r="AH125" s="161" t="s">
        <v>174</v>
      </c>
      <c r="AI125" s="161" t="s">
        <v>178</v>
      </c>
      <c r="AJ125" s="163"/>
      <c r="AK125" s="164"/>
      <c r="AL125" s="163"/>
      <c r="AM125" s="164"/>
      <c r="AN125" s="165"/>
      <c r="AO125" s="166"/>
    </row>
    <row r="126" spans="2:41" ht="13.5" thickBot="1">
      <c r="B126" s="77"/>
      <c r="C126" s="77"/>
      <c r="D126" s="78"/>
      <c r="E126" s="78"/>
      <c r="F126" s="78"/>
      <c r="G126" s="78"/>
      <c r="H126" s="78"/>
      <c r="I126" s="78"/>
      <c r="J126" s="78"/>
      <c r="K126" s="78"/>
      <c r="L126" s="78"/>
      <c r="M126" s="78"/>
      <c r="N126" s="78"/>
      <c r="O126" s="78"/>
      <c r="P126" s="78"/>
      <c r="Q126" s="78"/>
      <c r="AH126" s="161" t="s">
        <v>175</v>
      </c>
      <c r="AI126" s="682" t="s">
        <v>328</v>
      </c>
      <c r="AJ126" s="163"/>
      <c r="AK126" s="164"/>
      <c r="AL126" s="163"/>
      <c r="AM126" s="164"/>
      <c r="AN126" s="165"/>
      <c r="AO126" s="166"/>
    </row>
    <row r="127" spans="2:41" ht="12.75">
      <c r="B127" s="77"/>
      <c r="C127" s="77"/>
      <c r="D127" s="78"/>
      <c r="E127" s="78"/>
      <c r="F127" s="78"/>
      <c r="G127" s="78"/>
      <c r="H127" s="78"/>
      <c r="I127" s="78"/>
      <c r="J127" s="78"/>
      <c r="K127" s="78"/>
      <c r="L127" s="78"/>
      <c r="M127" s="78"/>
      <c r="N127" s="78"/>
      <c r="O127" s="78"/>
      <c r="P127" s="78"/>
      <c r="Q127" s="78"/>
      <c r="AH127" s="161" t="s">
        <v>177</v>
      </c>
      <c r="AI127" s="683"/>
      <c r="AJ127" s="163"/>
      <c r="AK127" s="164"/>
      <c r="AL127" s="163"/>
      <c r="AM127" s="164"/>
      <c r="AN127" s="165"/>
      <c r="AO127" s="166"/>
    </row>
    <row r="128" spans="2:41" ht="12.75">
      <c r="B128" s="77"/>
      <c r="C128" s="77"/>
      <c r="D128" s="78"/>
      <c r="E128" s="78"/>
      <c r="F128" s="78"/>
      <c r="G128" s="78"/>
      <c r="H128" s="78"/>
      <c r="I128" s="78"/>
      <c r="J128" s="78"/>
      <c r="K128" s="78"/>
      <c r="L128" s="78"/>
      <c r="M128" s="78"/>
      <c r="N128" s="78"/>
      <c r="O128" s="78"/>
      <c r="P128" s="78"/>
      <c r="Q128" s="78"/>
      <c r="AH128" s="161" t="s">
        <v>178</v>
      </c>
      <c r="AI128" s="684"/>
      <c r="AJ128" s="163"/>
      <c r="AK128" s="164"/>
      <c r="AL128" s="163"/>
      <c r="AM128" s="164"/>
      <c r="AN128" s="165"/>
      <c r="AO128" s="166"/>
    </row>
    <row r="129" spans="2:41" ht="13.5" thickBot="1">
      <c r="B129" s="77"/>
      <c r="C129" s="77"/>
      <c r="D129" s="78"/>
      <c r="E129" s="78"/>
      <c r="F129" s="78"/>
      <c r="G129" s="78"/>
      <c r="H129" s="78"/>
      <c r="I129" s="78"/>
      <c r="J129" s="78"/>
      <c r="K129" s="78"/>
      <c r="L129" s="78"/>
      <c r="M129" s="78"/>
      <c r="N129" s="78"/>
      <c r="O129" s="78"/>
      <c r="P129" s="78"/>
      <c r="Q129" s="78"/>
      <c r="AH129" s="676" t="s">
        <v>328</v>
      </c>
      <c r="AI129" s="685"/>
      <c r="AJ129" s="163"/>
      <c r="AK129" s="164"/>
      <c r="AL129" s="163"/>
      <c r="AM129" s="164"/>
      <c r="AN129" s="165"/>
      <c r="AO129" s="166"/>
    </row>
    <row r="130" spans="2:41" ht="12.75">
      <c r="B130" s="77"/>
      <c r="C130" s="77"/>
      <c r="D130" s="78"/>
      <c r="E130" s="78"/>
      <c r="F130" s="78"/>
      <c r="G130" s="78"/>
      <c r="H130" s="78"/>
      <c r="I130" s="78"/>
      <c r="J130" s="78"/>
      <c r="K130" s="78"/>
      <c r="L130" s="78"/>
      <c r="M130" s="78"/>
      <c r="N130" s="78"/>
      <c r="O130" s="78"/>
      <c r="P130" s="78"/>
      <c r="Q130" s="78"/>
      <c r="AI130" s="162"/>
      <c r="AJ130" s="163"/>
      <c r="AK130" s="164"/>
      <c r="AL130" s="163"/>
      <c r="AM130" s="164"/>
      <c r="AN130" s="165"/>
      <c r="AO130" s="166"/>
    </row>
    <row r="131" spans="2:41" ht="12.75">
      <c r="B131" s="77"/>
      <c r="C131" s="77"/>
      <c r="D131" s="78"/>
      <c r="E131" s="78"/>
      <c r="F131" s="78"/>
      <c r="G131" s="78"/>
      <c r="H131" s="78"/>
      <c r="I131" s="78"/>
      <c r="J131" s="78"/>
      <c r="K131" s="78"/>
      <c r="L131" s="78"/>
      <c r="M131" s="78"/>
      <c r="N131" s="78"/>
      <c r="O131" s="78"/>
      <c r="P131" s="78"/>
      <c r="Q131" s="78"/>
      <c r="AI131" s="162"/>
      <c r="AJ131" s="163"/>
      <c r="AK131" s="164"/>
      <c r="AL131" s="163"/>
      <c r="AM131" s="164"/>
      <c r="AN131" s="165"/>
      <c r="AO131" s="166"/>
    </row>
    <row r="132" spans="2:41" ht="12.75">
      <c r="B132" s="77"/>
      <c r="C132" s="77"/>
      <c r="D132" s="78"/>
      <c r="E132" s="78"/>
      <c r="F132" s="78"/>
      <c r="G132" s="78"/>
      <c r="H132" s="78"/>
      <c r="I132" s="78"/>
      <c r="J132" s="78"/>
      <c r="K132" s="78"/>
      <c r="L132" s="78"/>
      <c r="M132" s="78"/>
      <c r="N132" s="78"/>
      <c r="O132" s="78"/>
      <c r="P132" s="78"/>
      <c r="Q132" s="78"/>
      <c r="AI132" s="84"/>
      <c r="AJ132" s="84"/>
      <c r="AK132" s="84"/>
      <c r="AL132" s="152"/>
      <c r="AM132" s="153"/>
      <c r="AN132" s="152"/>
      <c r="AO132" s="153"/>
    </row>
    <row r="133" spans="2:17" ht="12.75">
      <c r="B133" s="77"/>
      <c r="C133" s="77"/>
      <c r="D133" s="78"/>
      <c r="E133" s="78"/>
      <c r="F133" s="78"/>
      <c r="G133" s="78"/>
      <c r="H133" s="78"/>
      <c r="I133" s="78"/>
      <c r="J133" s="78"/>
      <c r="K133" s="78"/>
      <c r="L133" s="78"/>
      <c r="M133" s="78"/>
      <c r="N133" s="78"/>
      <c r="O133" s="78"/>
      <c r="P133" s="78"/>
      <c r="Q133" s="78"/>
    </row>
    <row r="134" spans="2:17" ht="12.75">
      <c r="B134" s="77"/>
      <c r="C134" s="77"/>
      <c r="D134" s="78"/>
      <c r="E134" s="78"/>
      <c r="F134" s="78"/>
      <c r="G134" s="78"/>
      <c r="H134" s="78"/>
      <c r="I134" s="78"/>
      <c r="J134" s="78"/>
      <c r="K134" s="78"/>
      <c r="L134" s="78"/>
      <c r="M134" s="78"/>
      <c r="N134" s="78"/>
      <c r="O134" s="78"/>
      <c r="P134" s="78"/>
      <c r="Q134" s="78"/>
    </row>
    <row r="135" spans="2:17" ht="12.75">
      <c r="B135" s="77"/>
      <c r="C135" s="77"/>
      <c r="D135" s="78"/>
      <c r="E135" s="78"/>
      <c r="F135" s="78"/>
      <c r="G135" s="78"/>
      <c r="H135" s="78"/>
      <c r="I135" s="78"/>
      <c r="J135" s="78"/>
      <c r="K135" s="78"/>
      <c r="L135" s="78"/>
      <c r="M135" s="78"/>
      <c r="N135" s="78"/>
      <c r="O135" s="78"/>
      <c r="P135" s="78"/>
      <c r="Q135" s="78"/>
    </row>
    <row r="136" spans="2:17" ht="12.75">
      <c r="B136" s="77"/>
      <c r="C136" s="77"/>
      <c r="D136" s="78"/>
      <c r="E136" s="78"/>
      <c r="F136" s="78"/>
      <c r="G136" s="78"/>
      <c r="H136" s="78"/>
      <c r="I136" s="78"/>
      <c r="J136" s="78"/>
      <c r="K136" s="78"/>
      <c r="L136" s="78"/>
      <c r="M136" s="78"/>
      <c r="N136" s="78"/>
      <c r="O136" s="78"/>
      <c r="P136" s="78"/>
      <c r="Q136" s="78"/>
    </row>
    <row r="137" spans="2:17" ht="12.75">
      <c r="B137" s="77"/>
      <c r="C137" s="77"/>
      <c r="D137" s="78"/>
      <c r="E137" s="78"/>
      <c r="F137" s="78"/>
      <c r="G137" s="78"/>
      <c r="H137" s="78"/>
      <c r="I137" s="78"/>
      <c r="J137" s="78"/>
      <c r="K137" s="78"/>
      <c r="L137" s="78"/>
      <c r="M137" s="78"/>
      <c r="N137" s="78"/>
      <c r="O137" s="78"/>
      <c r="P137" s="78"/>
      <c r="Q137" s="78"/>
    </row>
    <row r="138" spans="2:17" ht="12.75">
      <c r="B138" s="77"/>
      <c r="C138" s="77"/>
      <c r="D138" s="78"/>
      <c r="E138" s="78"/>
      <c r="F138" s="78"/>
      <c r="G138" s="78"/>
      <c r="H138" s="78"/>
      <c r="I138" s="78"/>
      <c r="J138" s="78"/>
      <c r="K138" s="78"/>
      <c r="L138" s="78"/>
      <c r="M138" s="78"/>
      <c r="N138" s="78"/>
      <c r="O138" s="78"/>
      <c r="P138" s="78"/>
      <c r="Q138" s="78"/>
    </row>
    <row r="139" spans="2:17" ht="12.75">
      <c r="B139" s="77"/>
      <c r="C139" s="77"/>
      <c r="D139" s="78"/>
      <c r="E139" s="78"/>
      <c r="F139" s="78"/>
      <c r="G139" s="78"/>
      <c r="H139" s="78"/>
      <c r="I139" s="78"/>
      <c r="J139" s="78"/>
      <c r="K139" s="78"/>
      <c r="L139" s="78"/>
      <c r="M139" s="78"/>
      <c r="N139" s="78"/>
      <c r="O139" s="78"/>
      <c r="P139" s="78"/>
      <c r="Q139" s="78"/>
    </row>
    <row r="140" spans="2:17" ht="12.75">
      <c r="B140" s="77"/>
      <c r="C140" s="77"/>
      <c r="D140" s="78"/>
      <c r="E140" s="78"/>
      <c r="F140" s="78"/>
      <c r="G140" s="78"/>
      <c r="H140" s="78"/>
      <c r="I140" s="78"/>
      <c r="J140" s="78"/>
      <c r="K140" s="78"/>
      <c r="L140" s="78"/>
      <c r="M140" s="78"/>
      <c r="N140" s="78"/>
      <c r="O140" s="78"/>
      <c r="P140" s="78"/>
      <c r="Q140" s="78"/>
    </row>
    <row r="141" spans="2:17" ht="12.75">
      <c r="B141" s="77"/>
      <c r="C141" s="77"/>
      <c r="D141" s="78"/>
      <c r="E141" s="78"/>
      <c r="F141" s="78"/>
      <c r="G141" s="78"/>
      <c r="H141" s="78"/>
      <c r="I141" s="78"/>
      <c r="J141" s="78"/>
      <c r="K141" s="78"/>
      <c r="L141" s="78"/>
      <c r="M141" s="78"/>
      <c r="N141" s="78"/>
      <c r="O141" s="78"/>
      <c r="P141" s="78"/>
      <c r="Q141" s="78"/>
    </row>
    <row r="142" spans="2:17" ht="12.75">
      <c r="B142" s="77"/>
      <c r="C142" s="77"/>
      <c r="D142" s="78"/>
      <c r="E142" s="78"/>
      <c r="F142" s="78"/>
      <c r="G142" s="78"/>
      <c r="H142" s="78"/>
      <c r="I142" s="78"/>
      <c r="J142" s="78"/>
      <c r="K142" s="78"/>
      <c r="L142" s="78"/>
      <c r="M142" s="78"/>
      <c r="N142" s="78"/>
      <c r="O142" s="78"/>
      <c r="P142" s="78"/>
      <c r="Q142" s="78"/>
    </row>
    <row r="143" spans="2:17" ht="12.75">
      <c r="B143" s="77"/>
      <c r="C143" s="77"/>
      <c r="D143" s="78"/>
      <c r="E143" s="78"/>
      <c r="F143" s="78"/>
      <c r="G143" s="78"/>
      <c r="H143" s="78"/>
      <c r="I143" s="78"/>
      <c r="J143" s="78"/>
      <c r="K143" s="78"/>
      <c r="L143" s="78"/>
      <c r="M143" s="78"/>
      <c r="N143" s="78"/>
      <c r="O143" s="78"/>
      <c r="P143" s="78"/>
      <c r="Q143" s="78"/>
    </row>
    <row r="144" spans="2:17" ht="12.75">
      <c r="B144" s="77"/>
      <c r="C144" s="77"/>
      <c r="D144" s="78"/>
      <c r="E144" s="78"/>
      <c r="F144" s="78"/>
      <c r="G144" s="78"/>
      <c r="H144" s="78"/>
      <c r="I144" s="78"/>
      <c r="J144" s="78"/>
      <c r="K144" s="78"/>
      <c r="L144" s="78"/>
      <c r="M144" s="78"/>
      <c r="N144" s="78"/>
      <c r="O144" s="78"/>
      <c r="P144" s="78"/>
      <c r="Q144" s="78"/>
    </row>
    <row r="145" spans="2:17" ht="12.75">
      <c r="B145" s="77"/>
      <c r="C145" s="77"/>
      <c r="D145" s="78"/>
      <c r="E145" s="78"/>
      <c r="F145" s="78"/>
      <c r="G145" s="78"/>
      <c r="H145" s="78"/>
      <c r="I145" s="78"/>
      <c r="J145" s="78"/>
      <c r="K145" s="78"/>
      <c r="L145" s="78"/>
      <c r="M145" s="78"/>
      <c r="N145" s="78"/>
      <c r="O145" s="78"/>
      <c r="P145" s="78"/>
      <c r="Q145" s="78"/>
    </row>
    <row r="146" spans="2:17" ht="12.75">
      <c r="B146" s="77"/>
      <c r="C146" s="77"/>
      <c r="D146" s="78"/>
      <c r="E146" s="78"/>
      <c r="F146" s="78"/>
      <c r="G146" s="78"/>
      <c r="H146" s="78"/>
      <c r="I146" s="78"/>
      <c r="J146" s="78"/>
      <c r="K146" s="78"/>
      <c r="L146" s="78"/>
      <c r="M146" s="78"/>
      <c r="N146" s="78"/>
      <c r="O146" s="78"/>
      <c r="P146" s="78"/>
      <c r="Q146" s="78"/>
    </row>
    <row r="147" spans="2:17" ht="12.75">
      <c r="B147" s="77"/>
      <c r="C147" s="77"/>
      <c r="D147" s="78"/>
      <c r="E147" s="78"/>
      <c r="F147" s="78"/>
      <c r="G147" s="78"/>
      <c r="H147" s="78"/>
      <c r="I147" s="78"/>
      <c r="J147" s="78"/>
      <c r="K147" s="78"/>
      <c r="L147" s="78"/>
      <c r="M147" s="78"/>
      <c r="N147" s="78"/>
      <c r="O147" s="78"/>
      <c r="P147" s="78"/>
      <c r="Q147" s="78"/>
    </row>
    <row r="148" spans="2:17" ht="12.75">
      <c r="B148" s="77"/>
      <c r="C148" s="77"/>
      <c r="D148" s="78"/>
      <c r="E148" s="78"/>
      <c r="F148" s="78"/>
      <c r="G148" s="78"/>
      <c r="H148" s="78"/>
      <c r="I148" s="78"/>
      <c r="J148" s="78"/>
      <c r="K148" s="78"/>
      <c r="L148" s="78"/>
      <c r="M148" s="78"/>
      <c r="N148" s="78"/>
      <c r="O148" s="78"/>
      <c r="P148" s="78"/>
      <c r="Q148" s="78"/>
    </row>
    <row r="149" spans="2:17" ht="12.75">
      <c r="B149" s="77"/>
      <c r="C149" s="77"/>
      <c r="D149" s="78"/>
      <c r="E149" s="78"/>
      <c r="F149" s="78"/>
      <c r="G149" s="78"/>
      <c r="H149" s="78"/>
      <c r="I149" s="78"/>
      <c r="J149" s="78"/>
      <c r="K149" s="78"/>
      <c r="L149" s="78"/>
      <c r="M149" s="78"/>
      <c r="N149" s="78"/>
      <c r="O149" s="78"/>
      <c r="P149" s="78"/>
      <c r="Q149" s="78"/>
    </row>
    <row r="150" spans="2:17" ht="12.75">
      <c r="B150" s="77"/>
      <c r="C150" s="77"/>
      <c r="D150" s="78"/>
      <c r="E150" s="78"/>
      <c r="F150" s="78"/>
      <c r="G150" s="78"/>
      <c r="H150" s="78"/>
      <c r="I150" s="78"/>
      <c r="J150" s="78"/>
      <c r="K150" s="78"/>
      <c r="L150" s="78"/>
      <c r="M150" s="78"/>
      <c r="N150" s="78"/>
      <c r="O150" s="78"/>
      <c r="P150" s="78"/>
      <c r="Q150" s="78"/>
    </row>
    <row r="151" spans="2:17" ht="12.75">
      <c r="B151" s="77"/>
      <c r="C151" s="77"/>
      <c r="D151" s="78"/>
      <c r="E151" s="78"/>
      <c r="F151" s="78"/>
      <c r="G151" s="78"/>
      <c r="H151" s="78"/>
      <c r="I151" s="78"/>
      <c r="J151" s="78"/>
      <c r="K151" s="78"/>
      <c r="L151" s="78"/>
      <c r="M151" s="78"/>
      <c r="N151" s="78"/>
      <c r="O151" s="78"/>
      <c r="P151" s="78"/>
      <c r="Q151" s="78"/>
    </row>
    <row r="152" spans="2:17" ht="12.75">
      <c r="B152" s="77"/>
      <c r="C152" s="77"/>
      <c r="D152" s="78"/>
      <c r="E152" s="78"/>
      <c r="F152" s="78"/>
      <c r="G152" s="78"/>
      <c r="H152" s="78"/>
      <c r="I152" s="78"/>
      <c r="J152" s="78"/>
      <c r="K152" s="78"/>
      <c r="L152" s="78"/>
      <c r="M152" s="78"/>
      <c r="N152" s="78"/>
      <c r="O152" s="78"/>
      <c r="P152" s="78"/>
      <c r="Q152" s="78"/>
    </row>
    <row r="153" spans="2:17" ht="12.75">
      <c r="B153" s="77"/>
      <c r="C153" s="77"/>
      <c r="D153" s="78"/>
      <c r="E153" s="78"/>
      <c r="F153" s="78"/>
      <c r="G153" s="78"/>
      <c r="H153" s="78"/>
      <c r="I153" s="78"/>
      <c r="J153" s="78"/>
      <c r="K153" s="78"/>
      <c r="L153" s="78"/>
      <c r="M153" s="78"/>
      <c r="N153" s="78"/>
      <c r="O153" s="78"/>
      <c r="P153" s="78"/>
      <c r="Q153" s="78"/>
    </row>
    <row r="154" spans="2:17" ht="12.75">
      <c r="B154" s="77"/>
      <c r="C154" s="77"/>
      <c r="D154" s="78"/>
      <c r="E154" s="78"/>
      <c r="F154" s="78"/>
      <c r="G154" s="78"/>
      <c r="H154" s="78"/>
      <c r="I154" s="78"/>
      <c r="J154" s="78"/>
      <c r="K154" s="78"/>
      <c r="L154" s="78"/>
      <c r="M154" s="78"/>
      <c r="N154" s="78"/>
      <c r="O154" s="78"/>
      <c r="P154" s="78"/>
      <c r="Q154" s="78"/>
    </row>
    <row r="155" spans="2:17" ht="12.75">
      <c r="B155" s="77"/>
      <c r="C155" s="77"/>
      <c r="D155" s="78"/>
      <c r="E155" s="78"/>
      <c r="F155" s="78"/>
      <c r="G155" s="78"/>
      <c r="H155" s="78"/>
      <c r="I155" s="78"/>
      <c r="J155" s="78"/>
      <c r="K155" s="78"/>
      <c r="L155" s="78"/>
      <c r="M155" s="78"/>
      <c r="N155" s="78"/>
      <c r="O155" s="78"/>
      <c r="P155" s="78"/>
      <c r="Q155" s="78"/>
    </row>
    <row r="156" spans="2:17" ht="12.75">
      <c r="B156" s="77"/>
      <c r="C156" s="77"/>
      <c r="D156" s="78"/>
      <c r="E156" s="78"/>
      <c r="F156" s="78"/>
      <c r="G156" s="78"/>
      <c r="H156" s="78"/>
      <c r="I156" s="78"/>
      <c r="J156" s="78"/>
      <c r="K156" s="78"/>
      <c r="L156" s="78"/>
      <c r="M156" s="78"/>
      <c r="N156" s="78"/>
      <c r="O156" s="78"/>
      <c r="P156" s="78"/>
      <c r="Q156" s="78"/>
    </row>
    <row r="157" spans="2:17" ht="12.75">
      <c r="B157" s="77"/>
      <c r="C157" s="77"/>
      <c r="D157" s="78"/>
      <c r="E157" s="78"/>
      <c r="F157" s="78"/>
      <c r="G157" s="78"/>
      <c r="H157" s="78"/>
      <c r="I157" s="78"/>
      <c r="J157" s="78"/>
      <c r="K157" s="78"/>
      <c r="L157" s="78"/>
      <c r="M157" s="78"/>
      <c r="N157" s="78"/>
      <c r="O157" s="78"/>
      <c r="P157" s="78"/>
      <c r="Q157" s="78"/>
    </row>
    <row r="158" spans="2:17" ht="12.75">
      <c r="B158" s="77"/>
      <c r="C158" s="77"/>
      <c r="D158" s="78"/>
      <c r="E158" s="78"/>
      <c r="F158" s="78"/>
      <c r="G158" s="78"/>
      <c r="H158" s="78"/>
      <c r="I158" s="78"/>
      <c r="J158" s="78"/>
      <c r="K158" s="78"/>
      <c r="L158" s="78"/>
      <c r="M158" s="78"/>
      <c r="N158" s="78"/>
      <c r="O158" s="78"/>
      <c r="P158" s="78"/>
      <c r="Q158" s="78"/>
    </row>
    <row r="159" spans="2:17" ht="12.75">
      <c r="B159" s="77"/>
      <c r="C159" s="77"/>
      <c r="D159" s="78"/>
      <c r="E159" s="78"/>
      <c r="F159" s="78"/>
      <c r="G159" s="78"/>
      <c r="H159" s="78"/>
      <c r="I159" s="78"/>
      <c r="J159" s="78"/>
      <c r="K159" s="78"/>
      <c r="L159" s="78"/>
      <c r="M159" s="78"/>
      <c r="N159" s="78"/>
      <c r="O159" s="78"/>
      <c r="P159" s="78"/>
      <c r="Q159" s="78"/>
    </row>
    <row r="160" spans="2:17" ht="12.75">
      <c r="B160" s="77"/>
      <c r="C160" s="77"/>
      <c r="D160" s="78"/>
      <c r="E160" s="78"/>
      <c r="F160" s="78"/>
      <c r="G160" s="78"/>
      <c r="H160" s="78"/>
      <c r="I160" s="78"/>
      <c r="J160" s="78"/>
      <c r="K160" s="78"/>
      <c r="L160" s="78"/>
      <c r="M160" s="78"/>
      <c r="N160" s="78"/>
      <c r="O160" s="78"/>
      <c r="P160" s="78"/>
      <c r="Q160" s="78"/>
    </row>
    <row r="161" spans="2:17" ht="12.75">
      <c r="B161" s="77"/>
      <c r="C161" s="77"/>
      <c r="D161" s="78"/>
      <c r="E161" s="78"/>
      <c r="F161" s="78"/>
      <c r="G161" s="78"/>
      <c r="H161" s="78"/>
      <c r="I161" s="78"/>
      <c r="J161" s="78"/>
      <c r="K161" s="78"/>
      <c r="L161" s="78"/>
      <c r="M161" s="78"/>
      <c r="N161" s="78"/>
      <c r="O161" s="78"/>
      <c r="P161" s="78"/>
      <c r="Q161" s="78"/>
    </row>
    <row r="162" spans="2:17" ht="12.75">
      <c r="B162" s="77"/>
      <c r="C162" s="77"/>
      <c r="D162" s="78"/>
      <c r="E162" s="78"/>
      <c r="F162" s="78"/>
      <c r="G162" s="78"/>
      <c r="H162" s="78"/>
      <c r="I162" s="78"/>
      <c r="J162" s="78"/>
      <c r="K162" s="78"/>
      <c r="L162" s="78"/>
      <c r="M162" s="78"/>
      <c r="N162" s="78"/>
      <c r="O162" s="78"/>
      <c r="P162" s="78"/>
      <c r="Q162" s="78"/>
    </row>
    <row r="163" spans="2:17" ht="12.75">
      <c r="B163" s="77"/>
      <c r="C163" s="77"/>
      <c r="D163" s="78"/>
      <c r="E163" s="78"/>
      <c r="F163" s="78"/>
      <c r="G163" s="78"/>
      <c r="H163" s="78"/>
      <c r="I163" s="78"/>
      <c r="J163" s="78"/>
      <c r="K163" s="78"/>
      <c r="L163" s="78"/>
      <c r="M163" s="78"/>
      <c r="N163" s="78"/>
      <c r="O163" s="78"/>
      <c r="P163" s="78"/>
      <c r="Q163" s="78"/>
    </row>
    <row r="164" spans="2:17" ht="12.75">
      <c r="B164" s="77"/>
      <c r="C164" s="77"/>
      <c r="D164" s="78"/>
      <c r="E164" s="78"/>
      <c r="F164" s="78"/>
      <c r="G164" s="78"/>
      <c r="H164" s="78"/>
      <c r="I164" s="78"/>
      <c r="J164" s="78"/>
      <c r="K164" s="78"/>
      <c r="L164" s="78"/>
      <c r="M164" s="78"/>
      <c r="N164" s="78"/>
      <c r="O164" s="78"/>
      <c r="P164" s="78"/>
      <c r="Q164" s="78"/>
    </row>
    <row r="165" spans="2:17" ht="12.75">
      <c r="B165" s="77"/>
      <c r="C165" s="77"/>
      <c r="D165" s="78"/>
      <c r="E165" s="78"/>
      <c r="F165" s="78"/>
      <c r="G165" s="78"/>
      <c r="H165" s="78"/>
      <c r="I165" s="78"/>
      <c r="J165" s="78"/>
      <c r="K165" s="78"/>
      <c r="L165" s="78"/>
      <c r="M165" s="78"/>
      <c r="N165" s="78"/>
      <c r="O165" s="78"/>
      <c r="P165" s="78"/>
      <c r="Q165" s="78"/>
    </row>
    <row r="166" spans="2:17" ht="12.75">
      <c r="B166" s="77"/>
      <c r="C166" s="77"/>
      <c r="D166" s="78"/>
      <c r="E166" s="78"/>
      <c r="F166" s="78"/>
      <c r="G166" s="78"/>
      <c r="H166" s="78"/>
      <c r="I166" s="78"/>
      <c r="J166" s="78"/>
      <c r="K166" s="78"/>
      <c r="L166" s="78"/>
      <c r="M166" s="78"/>
      <c r="N166" s="78"/>
      <c r="O166" s="78"/>
      <c r="P166" s="78"/>
      <c r="Q166" s="78"/>
    </row>
    <row r="167" spans="2:17" ht="12.75">
      <c r="B167" s="77"/>
      <c r="C167" s="77"/>
      <c r="D167" s="78"/>
      <c r="E167" s="78"/>
      <c r="F167" s="78"/>
      <c r="G167" s="78"/>
      <c r="H167" s="78"/>
      <c r="I167" s="78"/>
      <c r="J167" s="78"/>
      <c r="K167" s="78"/>
      <c r="L167" s="78"/>
      <c r="M167" s="78"/>
      <c r="N167" s="78"/>
      <c r="O167" s="78"/>
      <c r="P167" s="78"/>
      <c r="Q167" s="78"/>
    </row>
    <row r="168" spans="2:17" ht="12.75">
      <c r="B168" s="77"/>
      <c r="C168" s="77"/>
      <c r="D168" s="78"/>
      <c r="E168" s="78"/>
      <c r="F168" s="78"/>
      <c r="G168" s="78"/>
      <c r="H168" s="78"/>
      <c r="I168" s="78"/>
      <c r="J168" s="78"/>
      <c r="K168" s="78"/>
      <c r="L168" s="78"/>
      <c r="M168" s="78"/>
      <c r="N168" s="78"/>
      <c r="O168" s="78"/>
      <c r="P168" s="78"/>
      <c r="Q168" s="78"/>
    </row>
    <row r="169" spans="2:17" ht="12.75">
      <c r="B169" s="77"/>
      <c r="C169" s="77"/>
      <c r="D169" s="78"/>
      <c r="E169" s="78"/>
      <c r="F169" s="78"/>
      <c r="G169" s="78"/>
      <c r="H169" s="78"/>
      <c r="I169" s="78"/>
      <c r="J169" s="78"/>
      <c r="K169" s="78"/>
      <c r="L169" s="78"/>
      <c r="M169" s="78"/>
      <c r="N169" s="78"/>
      <c r="O169" s="78"/>
      <c r="P169" s="78"/>
      <c r="Q169" s="78"/>
    </row>
    <row r="170" spans="2:17" ht="12.75">
      <c r="B170" s="77"/>
      <c r="C170" s="77"/>
      <c r="D170" s="78"/>
      <c r="E170" s="78"/>
      <c r="F170" s="78"/>
      <c r="G170" s="78"/>
      <c r="H170" s="78"/>
      <c r="I170" s="78"/>
      <c r="J170" s="78"/>
      <c r="K170" s="78"/>
      <c r="L170" s="78"/>
      <c r="M170" s="78"/>
      <c r="N170" s="78"/>
      <c r="O170" s="78"/>
      <c r="P170" s="78"/>
      <c r="Q170" s="78"/>
    </row>
    <row r="171" spans="2:17" ht="12.75">
      <c r="B171" s="77"/>
      <c r="C171" s="77"/>
      <c r="D171" s="78"/>
      <c r="E171" s="78"/>
      <c r="F171" s="78"/>
      <c r="G171" s="78"/>
      <c r="H171" s="78"/>
      <c r="I171" s="78"/>
      <c r="J171" s="78"/>
      <c r="K171" s="78"/>
      <c r="L171" s="78"/>
      <c r="M171" s="78"/>
      <c r="N171" s="78"/>
      <c r="O171" s="78"/>
      <c r="P171" s="78"/>
      <c r="Q171" s="78"/>
    </row>
    <row r="172" spans="2:17" ht="12.75">
      <c r="B172" s="77"/>
      <c r="C172" s="77"/>
      <c r="D172" s="78"/>
      <c r="E172" s="78"/>
      <c r="F172" s="78"/>
      <c r="G172" s="78"/>
      <c r="H172" s="78"/>
      <c r="I172" s="78"/>
      <c r="J172" s="78"/>
      <c r="K172" s="78"/>
      <c r="L172" s="78"/>
      <c r="M172" s="78"/>
      <c r="N172" s="78"/>
      <c r="O172" s="78"/>
      <c r="P172" s="78"/>
      <c r="Q172" s="78"/>
    </row>
    <row r="173" spans="2:17" ht="12.75">
      <c r="B173" s="77"/>
      <c r="C173" s="77"/>
      <c r="D173" s="78"/>
      <c r="E173" s="78"/>
      <c r="F173" s="78"/>
      <c r="G173" s="78"/>
      <c r="H173" s="78"/>
      <c r="I173" s="78"/>
      <c r="J173" s="78"/>
      <c r="K173" s="78"/>
      <c r="L173" s="78"/>
      <c r="M173" s="78"/>
      <c r="N173" s="78"/>
      <c r="O173" s="78"/>
      <c r="P173" s="78"/>
      <c r="Q173" s="78"/>
    </row>
    <row r="174" spans="2:17" ht="12.75">
      <c r="B174" s="77"/>
      <c r="C174" s="77"/>
      <c r="D174" s="78"/>
      <c r="E174" s="78"/>
      <c r="F174" s="78"/>
      <c r="G174" s="78"/>
      <c r="H174" s="78"/>
      <c r="I174" s="78"/>
      <c r="J174" s="78"/>
      <c r="K174" s="78"/>
      <c r="L174" s="78"/>
      <c r="M174" s="78"/>
      <c r="N174" s="78"/>
      <c r="O174" s="78"/>
      <c r="P174" s="78"/>
      <c r="Q174" s="78"/>
    </row>
    <row r="175" spans="2:17" ht="12.75">
      <c r="B175" s="77"/>
      <c r="C175" s="77"/>
      <c r="D175" s="78"/>
      <c r="E175" s="78"/>
      <c r="F175" s="78"/>
      <c r="G175" s="78"/>
      <c r="H175" s="78"/>
      <c r="I175" s="78"/>
      <c r="J175" s="78"/>
      <c r="K175" s="78"/>
      <c r="L175" s="78"/>
      <c r="M175" s="78"/>
      <c r="N175" s="78"/>
      <c r="O175" s="78"/>
      <c r="P175" s="78"/>
      <c r="Q175" s="78"/>
    </row>
    <row r="176" spans="2:17" ht="12.75">
      <c r="B176" s="77"/>
      <c r="C176" s="77"/>
      <c r="D176" s="78"/>
      <c r="E176" s="78"/>
      <c r="F176" s="78"/>
      <c r="G176" s="78"/>
      <c r="H176" s="78"/>
      <c r="I176" s="78"/>
      <c r="J176" s="78"/>
      <c r="K176" s="78"/>
      <c r="L176" s="78"/>
      <c r="M176" s="78"/>
      <c r="N176" s="78"/>
      <c r="O176" s="78"/>
      <c r="P176" s="78"/>
      <c r="Q176" s="78"/>
    </row>
    <row r="177" spans="2:17" ht="12.75">
      <c r="B177" s="77"/>
      <c r="C177" s="77"/>
      <c r="D177" s="78"/>
      <c r="E177" s="78"/>
      <c r="F177" s="78"/>
      <c r="G177" s="78"/>
      <c r="H177" s="78"/>
      <c r="I177" s="78"/>
      <c r="J177" s="78"/>
      <c r="K177" s="78"/>
      <c r="L177" s="78"/>
      <c r="M177" s="78"/>
      <c r="N177" s="78"/>
      <c r="O177" s="78"/>
      <c r="P177" s="78"/>
      <c r="Q177" s="78"/>
    </row>
    <row r="178" spans="2:17" ht="12.75">
      <c r="B178" s="77"/>
      <c r="C178" s="77"/>
      <c r="D178" s="78"/>
      <c r="E178" s="78"/>
      <c r="F178" s="78"/>
      <c r="G178" s="78"/>
      <c r="H178" s="78"/>
      <c r="I178" s="78"/>
      <c r="J178" s="78"/>
      <c r="K178" s="78"/>
      <c r="L178" s="78"/>
      <c r="M178" s="78"/>
      <c r="N178" s="78"/>
      <c r="O178" s="78"/>
      <c r="P178" s="78"/>
      <c r="Q178" s="78"/>
    </row>
    <row r="179" spans="2:17" ht="12.75">
      <c r="B179" s="77"/>
      <c r="C179" s="77"/>
      <c r="D179" s="78"/>
      <c r="E179" s="78"/>
      <c r="F179" s="78"/>
      <c r="G179" s="78"/>
      <c r="H179" s="78"/>
      <c r="I179" s="78"/>
      <c r="J179" s="78"/>
      <c r="K179" s="78"/>
      <c r="L179" s="78"/>
      <c r="M179" s="78"/>
      <c r="N179" s="78"/>
      <c r="O179" s="78"/>
      <c r="P179" s="78"/>
      <c r="Q179" s="78"/>
    </row>
    <row r="180" spans="2:17" ht="12.75">
      <c r="B180" s="77"/>
      <c r="C180" s="77"/>
      <c r="D180" s="78"/>
      <c r="E180" s="78"/>
      <c r="F180" s="78"/>
      <c r="G180" s="78"/>
      <c r="H180" s="78"/>
      <c r="I180" s="78"/>
      <c r="J180" s="78"/>
      <c r="K180" s="78"/>
      <c r="L180" s="78"/>
      <c r="M180" s="78"/>
      <c r="N180" s="78"/>
      <c r="O180" s="78"/>
      <c r="P180" s="78"/>
      <c r="Q180" s="78"/>
    </row>
    <row r="181" spans="2:17" ht="12.75">
      <c r="B181" s="77"/>
      <c r="C181" s="77"/>
      <c r="D181" s="78"/>
      <c r="E181" s="78"/>
      <c r="F181" s="78"/>
      <c r="G181" s="78"/>
      <c r="H181" s="78"/>
      <c r="I181" s="78"/>
      <c r="J181" s="78"/>
      <c r="K181" s="78"/>
      <c r="L181" s="78"/>
      <c r="M181" s="78"/>
      <c r="N181" s="78"/>
      <c r="O181" s="78"/>
      <c r="P181" s="78"/>
      <c r="Q181" s="78"/>
    </row>
    <row r="182" spans="2:17" ht="12.75">
      <c r="B182" s="77"/>
      <c r="C182" s="77"/>
      <c r="D182" s="78"/>
      <c r="E182" s="78"/>
      <c r="F182" s="78"/>
      <c r="G182" s="78"/>
      <c r="H182" s="78"/>
      <c r="I182" s="78"/>
      <c r="J182" s="78"/>
      <c r="K182" s="78"/>
      <c r="L182" s="78"/>
      <c r="M182" s="78"/>
      <c r="N182" s="78"/>
      <c r="O182" s="78"/>
      <c r="P182" s="78"/>
      <c r="Q182" s="78"/>
    </row>
    <row r="183" spans="2:17" ht="12.75">
      <c r="B183" s="77"/>
      <c r="C183" s="77"/>
      <c r="D183" s="78"/>
      <c r="E183" s="78"/>
      <c r="F183" s="78"/>
      <c r="G183" s="78"/>
      <c r="H183" s="78"/>
      <c r="I183" s="78"/>
      <c r="J183" s="78"/>
      <c r="K183" s="78"/>
      <c r="L183" s="78"/>
      <c r="M183" s="78"/>
      <c r="N183" s="78"/>
      <c r="O183" s="78"/>
      <c r="P183" s="78"/>
      <c r="Q183" s="78"/>
    </row>
    <row r="184" spans="2:17" ht="12.75">
      <c r="B184" s="77"/>
      <c r="C184" s="77"/>
      <c r="D184" s="78"/>
      <c r="E184" s="78"/>
      <c r="F184" s="78"/>
      <c r="G184" s="78"/>
      <c r="H184" s="78"/>
      <c r="I184" s="78"/>
      <c r="J184" s="78"/>
      <c r="K184" s="78"/>
      <c r="L184" s="78"/>
      <c r="M184" s="78"/>
      <c r="N184" s="78"/>
      <c r="O184" s="78"/>
      <c r="P184" s="78"/>
      <c r="Q184" s="78"/>
    </row>
    <row r="185" spans="2:17" ht="12.75">
      <c r="B185" s="77"/>
      <c r="C185" s="77"/>
      <c r="D185" s="78"/>
      <c r="E185" s="78"/>
      <c r="F185" s="78"/>
      <c r="G185" s="78"/>
      <c r="H185" s="78"/>
      <c r="I185" s="78"/>
      <c r="J185" s="78"/>
      <c r="K185" s="78"/>
      <c r="L185" s="78"/>
      <c r="M185" s="78"/>
      <c r="N185" s="78"/>
      <c r="O185" s="78"/>
      <c r="P185" s="78"/>
      <c r="Q185" s="78"/>
    </row>
    <row r="186" spans="2:17" ht="12.75">
      <c r="B186" s="77"/>
      <c r="C186" s="77"/>
      <c r="D186" s="78"/>
      <c r="E186" s="78"/>
      <c r="F186" s="78"/>
      <c r="G186" s="78"/>
      <c r="H186" s="78"/>
      <c r="I186" s="78"/>
      <c r="J186" s="78"/>
      <c r="K186" s="78"/>
      <c r="L186" s="78"/>
      <c r="M186" s="78"/>
      <c r="N186" s="78"/>
      <c r="O186" s="78"/>
      <c r="P186" s="78"/>
      <c r="Q186" s="78"/>
    </row>
    <row r="187" spans="2:17" ht="12.75">
      <c r="B187" s="77"/>
      <c r="C187" s="77"/>
      <c r="D187" s="78"/>
      <c r="E187" s="78"/>
      <c r="F187" s="78"/>
      <c r="G187" s="78"/>
      <c r="H187" s="78"/>
      <c r="I187" s="78"/>
      <c r="J187" s="78"/>
      <c r="K187" s="78"/>
      <c r="L187" s="78"/>
      <c r="M187" s="78"/>
      <c r="N187" s="78"/>
      <c r="O187" s="78"/>
      <c r="P187" s="78"/>
      <c r="Q187" s="78"/>
    </row>
  </sheetData>
  <sheetProtection formatRows="0"/>
  <mergeCells count="42">
    <mergeCell ref="M64:N64"/>
    <mergeCell ref="F64:G64"/>
    <mergeCell ref="H64:I64"/>
    <mergeCell ref="F8:H8"/>
    <mergeCell ref="M61:N61"/>
    <mergeCell ref="L12:M12"/>
    <mergeCell ref="D111:D112"/>
    <mergeCell ref="M6:O6"/>
    <mergeCell ref="M7:O7"/>
    <mergeCell ref="M8:O8"/>
    <mergeCell ref="M9:O9"/>
    <mergeCell ref="J11:O11"/>
    <mergeCell ref="M47:N47"/>
    <mergeCell ref="K64:L64"/>
    <mergeCell ref="O64:O65"/>
    <mergeCell ref="N12:O12"/>
    <mergeCell ref="M5:O5"/>
    <mergeCell ref="M4:O4"/>
    <mergeCell ref="D2:G2"/>
    <mergeCell ref="AJ2:AK2"/>
    <mergeCell ref="I6:K6"/>
    <mergeCell ref="F7:H7"/>
    <mergeCell ref="C12:E12"/>
    <mergeCell ref="F12:G12"/>
    <mergeCell ref="H12:I12"/>
    <mergeCell ref="B49:C49"/>
    <mergeCell ref="AL2:AM2"/>
    <mergeCell ref="AN2:AO2"/>
    <mergeCell ref="F6:H6"/>
    <mergeCell ref="I9:K9"/>
    <mergeCell ref="I8:K8"/>
    <mergeCell ref="I7:K7"/>
    <mergeCell ref="B58:B59"/>
    <mergeCell ref="B54:B55"/>
    <mergeCell ref="C64:E64"/>
    <mergeCell ref="B52:B53"/>
    <mergeCell ref="B56:B57"/>
    <mergeCell ref="I5:K5"/>
    <mergeCell ref="B50:B51"/>
    <mergeCell ref="F5:H5"/>
    <mergeCell ref="J12:K12"/>
    <mergeCell ref="F9:H9"/>
  </mergeCells>
  <conditionalFormatting sqref="O102">
    <cfRule type="cellIs" priority="1" dxfId="1" operator="greaterThan">
      <formula>0</formula>
    </cfRule>
    <cfRule type="cellIs" priority="2" dxfId="0" operator="lessThan">
      <formula>0</formula>
    </cfRule>
  </conditionalFormatting>
  <dataValidations count="19">
    <dataValidation allowBlank="1" showInputMessage="1" showErrorMessage="1" error="Please do not alter the contents of these cells" sqref="M15:O44 I15:I44 K15:K44 J45:O45 O47 O61 G50 G52 G54 G56 G58 I50:J59 K50 K52 K54 K56 K58 K60 E45 E60 N67:O81 G67:G81 G84:G98 I67:I81 I84:I98 L67:L81 N84:N98 L84:L98 O84:O100 O102:O103 P103"/>
    <dataValidation type="list" allowBlank="1" showInputMessage="1" showErrorMessage="1" prompt="Please select target habitat condition from the list.&#10;" error="Please select an option from the drop-down list." sqref="H90:H98">
      <formula1>$AQ$13:$AQ$14</formula1>
    </dataValidation>
    <dataValidation type="list" allowBlank="1" showInputMessage="1" showErrorMessage="1" prompt="Please select anticipated habitat condition after impact from the list." error="Please select an option from the drop-down list." sqref="H51 H53 H55 H57 H59">
      <formula1>$AQ$13:$AQ$15</formula1>
    </dataValidation>
    <dataValidation type="list" allowBlank="1" showInputMessage="1" showErrorMessage="1" prompt="Please select target habitat condition from the list.&#10;" error="Please select an option from the drop-down list." sqref="H71:H81">
      <formula1>$AQ$13:$AQ$15</formula1>
    </dataValidation>
    <dataValidation type="list" allowBlank="1" showInputMessage="1" showErrorMessage="1" prompt="Please select time till target condition reached from the list.&#10;&#10;Please round up" error="Please select an option from the drop-down list." sqref="K71:K81 K90:K98">
      <formula1>$AQ$18:$AQ$24</formula1>
    </dataValidation>
    <dataValidation type="list" allowBlank="1" showInputMessage="1" showErrorMessage="1" prompt="Please select current habitat condition from the list.&#10;&#10;Using FEP guidance or providing your reasoning where this is not suitable." error="Please select an option from the drop-down list." sqref="H15:H44 H50 H52 H54 H56 H58">
      <formula1>$AQ$13:$AQ$15</formula1>
    </dataValidation>
    <dataValidation errorStyle="warning" type="list" allowBlank="1" showInputMessage="1" showErrorMessage="1" prompt="Please select the existing habitat from the list.&#10;&#10;This will automatically generate the appropriate phase 1 habitat code and distinctiveness score." error="Are you sure you want to enter a habitat not on the list?" sqref="D15:D44">
      <formula1>$AH$3:$AH$50</formula1>
    </dataValidation>
    <dataValidation errorStyle="warning" type="list" allowBlank="1" showInputMessage="1" showErrorMessage="1" prompt="Please select the existing habitat to be indirectly impacted from the list." error="Are you sure you want to enter a habitat not on the list?" sqref="D50 D58 D56 D54 D52">
      <formula1>$AH$3:$AH$50</formula1>
    </dataValidation>
    <dataValidation errorStyle="warning" type="list" allowBlank="1" showInputMessage="1" showErrorMessage="1" prompt="Please select the proposed habitat to be created from the list.&#10;&#10;This will automatically generate the appropriate habitat code, distinctiveness score and creation difficulty." error="Are you sure you want to enter a habitat not on the list?" sqref="D71:D81">
      <formula1>$AH$72:$AH$112</formula1>
    </dataValidation>
    <dataValidation errorStyle="warning" type="list" allowBlank="1" showInputMessage="1" showErrorMessage="1" prompt="Please select the proposed habitat to be restored from the list.&#10;&#10;This will automatically generate the appropriate habitat code, distinctiveness score and restoration difficulty." error="Are you sure you want to enter a habitat not on the list?" sqref="D90:D98">
      <formula1>$AI$72:$AI$108</formula1>
    </dataValidation>
    <dataValidation errorStyle="warning" type="custom" allowBlank="1" showInputMessage="1" showErrorMessage="1" error="Are you sure you want to change the recommended distinctiveness?&#10;&#10;If yes continue but please include your reasoning." sqref="F50 F67:F81 F52 F54 F56 F58 F15:F44">
      <formula1>IF($D50&gt;0,(VLOOKUP($D50,$AH$3:$AO$48,3,FALSE)),"")</formula1>
    </dataValidation>
    <dataValidation errorStyle="warning" type="custom" allowBlank="1" showInputMessage="1" showErrorMessage="1" error="Are you sure you want to change the recommended distinctiveness?&#10;&#10;If yes, continue but please include your reasoning." sqref="F84:F98">
      <formula1>IF($D84&gt;0,(VLOOKUP($D84,$AH$3:$AO$48,3,FALSE)),"")</formula1>
    </dataValidation>
    <dataValidation errorStyle="warning" type="custom" allowBlank="1" showInputMessage="1" showErrorMessage="1" error="Are you sure you want to change the recommended difficulty?&#10;&#10;If yes continue but please include your reasoning." sqref="M67:M81">
      <formula1>IF($D67&gt;0,(VLOOKUP($D67,$AH$3:$AO$48,5,FALSE)),"")</formula1>
    </dataValidation>
    <dataValidation errorStyle="warning" type="custom" allowBlank="1" showInputMessage="1" showErrorMessage="1" error="Are you sure you want to change the recommended difficulty?&#10;&#10;If yes continue but please include your reasoning." sqref="M84:M98">
      <formula1>IF($D84&gt;0,(VLOOKUP($D84,$AH$3:$AO$48,7,FALSE)),"")</formula1>
    </dataValidation>
    <dataValidation errorStyle="warning" type="list" allowBlank="1" showInputMessage="1" showErrorMessage="1" prompt="Please select the proposed habitat to be created from the list.&#10;&#10;This will automatically generate the appropriate habitat code, distinctiveness score and creation difficulty." error="Are you sure you want to enter a habitat not on the list?" sqref="D67:D70">
      <formula1>$AH$69:$AH$108</formula1>
    </dataValidation>
    <dataValidation type="list" allowBlank="1" showInputMessage="1" showErrorMessage="1" prompt="Please select target habitat condition from the list.&#10;" error="Please select an option from the drop-down list." sqref="H67:H70">
      <formula1>$AQ$12:$AQ$14</formula1>
    </dataValidation>
    <dataValidation type="list" allowBlank="1" showInputMessage="1" showErrorMessage="1" prompt="Please select time till target condition reached from the list.&#10;&#10;Please round up" error="Please select an option from the drop-down list." sqref="K67:K70 K84:K89">
      <formula1>$AQ$17:$AQ$23</formula1>
    </dataValidation>
    <dataValidation errorStyle="warning" type="list" allowBlank="1" showInputMessage="1" showErrorMessage="1" prompt="Please select the proposed habitat to be restored from the list.&#10;&#10;This will automatically generate the appropriate habitat code, distinctiveness score and restoration difficulty." error="Are you sure you want to enter a habitat not on the list?" sqref="D84:D89">
      <formula1>$AH$5:$AH$49</formula1>
    </dataValidation>
    <dataValidation type="list" allowBlank="1" showInputMessage="1" showErrorMessage="1" prompt="Please select target habitat condition from the list.&#10;" error="Please select an option from the drop-down list." sqref="H84:H89">
      <formula1>$AQ$12:$AQ$13</formula1>
    </dataValidation>
  </dataValidations>
  <printOptions/>
  <pageMargins left="0.25" right="0.25" top="0.75" bottom="0.75" header="0.3" footer="0.3"/>
  <pageSetup horizontalDpi="600" verticalDpi="600" orientation="landscape" paperSize="8" scale="88" r:id="rId3"/>
  <rowBreaks count="1" manualBreakCount="1">
    <brk id="61" max="16" man="1"/>
  </rowBreaks>
  <colBreaks count="1" manualBreakCount="1">
    <brk id="15" max="122" man="1"/>
  </colBreaks>
  <ignoredErrors>
    <ignoredError sqref="C46:O46 E40 E24:E39 E41:E44 J40 J16:J21 J41:J44 L40 L41:L44 C45:D45 C47:N47 F45:I45 G44 C82:E82 E98 M82:M83 E90 C83 E83:F83 G15 C100:E100 C99:E99 G16 G17 G18 G19 G20 G21 G22 G23 G24 G25 G26 G27 G28 G29 G30 G31 G32 G33 G34 G35 G36 G37 G38 G39 G40 G41 G42 G43 E71 E72 E73 E74 E75 E76 E77 E78 E79 E80 E81 E91 E92 E93 E94 E95 E96 E97 J23:J39 L24:L39" unlockedFormula="1"/>
  </ignoredErrors>
  <legacyDrawing r:id="rId2"/>
</worksheet>
</file>

<file path=xl/worksheets/sheet2.xml><?xml version="1.0" encoding="utf-8"?>
<worksheet xmlns="http://schemas.openxmlformats.org/spreadsheetml/2006/main" xmlns:r="http://schemas.openxmlformats.org/officeDocument/2006/relationships">
  <dimension ref="A1:BM187"/>
  <sheetViews>
    <sheetView tabSelected="1" zoomScale="80" zoomScaleNormal="80" zoomScalePageLayoutView="0" workbookViewId="0" topLeftCell="M49">
      <selection activeCell="P105" sqref="P105"/>
    </sheetView>
  </sheetViews>
  <sheetFormatPr defaultColWidth="9.140625" defaultRowHeight="12.75"/>
  <cols>
    <col min="1" max="1" width="1.421875" style="77" customWidth="1"/>
    <col min="2" max="3" width="7.140625" style="81" customWidth="1"/>
    <col min="4" max="4" width="45.7109375" style="113" customWidth="1"/>
    <col min="5" max="5" width="11.7109375" style="113" customWidth="1"/>
    <col min="6" max="6" width="15.00390625" style="113" customWidth="1"/>
    <col min="7" max="7" width="12.8515625" style="113" customWidth="1"/>
    <col min="8" max="8" width="15.00390625" style="113" customWidth="1"/>
    <col min="9" max="14" width="12.8515625" style="113" customWidth="1"/>
    <col min="15" max="15" width="16.7109375" style="113" customWidth="1"/>
    <col min="16" max="16" width="10.7109375" style="113" customWidth="1"/>
    <col min="17" max="17" width="185.7109375" style="113" customWidth="1"/>
    <col min="18" max="32" width="13.421875" style="77" customWidth="1"/>
    <col min="33" max="33" width="13.57421875" style="80" hidden="1" customWidth="1"/>
    <col min="34" max="34" width="46.140625" style="80" hidden="1" customWidth="1"/>
    <col min="35" max="35" width="23.57421875" style="80" hidden="1" customWidth="1"/>
    <col min="36" max="36" width="13.421875" style="80" hidden="1" customWidth="1"/>
    <col min="37" max="37" width="9.140625" style="80" hidden="1" customWidth="1"/>
    <col min="38" max="41" width="13.28125" style="80" hidden="1" customWidth="1"/>
    <col min="42" max="42" width="9.140625" style="80" hidden="1" customWidth="1"/>
    <col min="43" max="43" width="14.421875" style="80" hidden="1" customWidth="1"/>
    <col min="44" max="52" width="9.140625" style="80" hidden="1" customWidth="1"/>
    <col min="53" max="65" width="9.140625" style="80" customWidth="1"/>
    <col min="66" max="16384" width="9.140625" style="81" customWidth="1"/>
  </cols>
  <sheetData>
    <row r="1" spans="2:17" ht="13.5" thickBot="1">
      <c r="B1" s="77"/>
      <c r="C1" s="77"/>
      <c r="D1" s="78"/>
      <c r="E1" s="78"/>
      <c r="F1" s="78"/>
      <c r="G1" s="78"/>
      <c r="H1" s="78"/>
      <c r="I1" s="78"/>
      <c r="J1" s="78"/>
      <c r="K1" s="78"/>
      <c r="L1" s="78"/>
      <c r="M1" s="79"/>
      <c r="N1" s="78"/>
      <c r="O1" s="78"/>
      <c r="P1" s="78"/>
      <c r="Q1" s="78"/>
    </row>
    <row r="2" spans="2:44" ht="13.5" customHeight="1" thickBot="1">
      <c r="B2" s="77"/>
      <c r="C2" s="77"/>
      <c r="D2" s="764" t="s">
        <v>256</v>
      </c>
      <c r="E2" s="764"/>
      <c r="F2" s="764"/>
      <c r="G2" s="764"/>
      <c r="H2" s="764"/>
      <c r="I2" s="78"/>
      <c r="J2" s="82"/>
      <c r="K2" s="82"/>
      <c r="L2" s="82"/>
      <c r="M2" s="83" t="s">
        <v>109</v>
      </c>
      <c r="N2" s="83"/>
      <c r="O2" s="78"/>
      <c r="P2" s="78"/>
      <c r="Q2" s="78"/>
      <c r="AH2" s="660" t="s">
        <v>79</v>
      </c>
      <c r="AI2" s="661" t="s">
        <v>12</v>
      </c>
      <c r="AJ2" s="765" t="s">
        <v>0</v>
      </c>
      <c r="AK2" s="766"/>
      <c r="AL2" s="746" t="s">
        <v>115</v>
      </c>
      <c r="AM2" s="747"/>
      <c r="AN2" s="747" t="s">
        <v>75</v>
      </c>
      <c r="AO2" s="748"/>
      <c r="AP2" s="84"/>
      <c r="AQ2" s="84"/>
      <c r="AR2" s="84"/>
    </row>
    <row r="3" spans="2:44" ht="13.5" thickBot="1">
      <c r="B3" s="77"/>
      <c r="C3" s="77"/>
      <c r="D3" s="85"/>
      <c r="E3" s="78"/>
      <c r="F3" s="78"/>
      <c r="G3" s="78"/>
      <c r="H3" s="78"/>
      <c r="I3" s="78"/>
      <c r="J3" s="86"/>
      <c r="K3" s="86"/>
      <c r="L3" s="86"/>
      <c r="M3" s="78"/>
      <c r="N3" s="77"/>
      <c r="O3" s="78"/>
      <c r="P3" s="78"/>
      <c r="Q3" s="78"/>
      <c r="AH3" s="87" t="s">
        <v>171</v>
      </c>
      <c r="AI3" s="671" t="s">
        <v>112</v>
      </c>
      <c r="AJ3" s="88" t="s">
        <v>114</v>
      </c>
      <c r="AK3" s="89">
        <v>0</v>
      </c>
      <c r="AL3" s="88" t="s">
        <v>54</v>
      </c>
      <c r="AM3" s="89">
        <v>1</v>
      </c>
      <c r="AN3" s="674" t="s">
        <v>54</v>
      </c>
      <c r="AO3" s="90">
        <v>1</v>
      </c>
      <c r="AP3" s="84"/>
      <c r="AQ3" s="84"/>
      <c r="AR3" s="84"/>
    </row>
    <row r="4" spans="2:44" ht="13.5" thickBot="1">
      <c r="B4" s="77"/>
      <c r="C4" s="293" t="s">
        <v>5</v>
      </c>
      <c r="D4" s="294"/>
      <c r="E4" s="83"/>
      <c r="F4" s="83"/>
      <c r="G4" s="83"/>
      <c r="H4" s="83"/>
      <c r="I4" s="83"/>
      <c r="J4" s="83"/>
      <c r="K4" s="83"/>
      <c r="L4" s="78"/>
      <c r="M4" s="761" t="s">
        <v>225</v>
      </c>
      <c r="N4" s="762"/>
      <c r="O4" s="763"/>
      <c r="P4" s="351"/>
      <c r="Q4" s="77"/>
      <c r="AH4" s="96" t="s">
        <v>172</v>
      </c>
      <c r="AI4" s="134" t="s">
        <v>112</v>
      </c>
      <c r="AJ4" s="97" t="s">
        <v>54</v>
      </c>
      <c r="AK4" s="98">
        <v>1</v>
      </c>
      <c r="AL4" s="97" t="s">
        <v>54</v>
      </c>
      <c r="AM4" s="98">
        <v>1</v>
      </c>
      <c r="AN4" s="675" t="s">
        <v>54</v>
      </c>
      <c r="AO4" s="99">
        <v>1</v>
      </c>
      <c r="AP4" s="84"/>
      <c r="AQ4" s="91" t="s">
        <v>0</v>
      </c>
      <c r="AR4" s="92"/>
    </row>
    <row r="5" spans="2:44" ht="12.75">
      <c r="B5" s="77"/>
      <c r="C5" s="295"/>
      <c r="D5" s="296" t="s">
        <v>81</v>
      </c>
      <c r="E5" s="83"/>
      <c r="F5" s="187" t="s">
        <v>242</v>
      </c>
      <c r="G5" s="86"/>
      <c r="H5" s="86"/>
      <c r="I5" s="86"/>
      <c r="J5" s="93"/>
      <c r="K5" s="93"/>
      <c r="L5" s="93"/>
      <c r="M5" s="758" t="s">
        <v>233</v>
      </c>
      <c r="N5" s="759"/>
      <c r="O5" s="760"/>
      <c r="P5" s="352"/>
      <c r="Q5" s="78"/>
      <c r="AH5" s="96" t="s">
        <v>126</v>
      </c>
      <c r="AI5" s="134" t="s">
        <v>13</v>
      </c>
      <c r="AJ5" s="97" t="s">
        <v>52</v>
      </c>
      <c r="AK5" s="98">
        <v>6</v>
      </c>
      <c r="AL5" s="97" t="s">
        <v>112</v>
      </c>
      <c r="AM5" s="98" t="s">
        <v>110</v>
      </c>
      <c r="AN5" s="675" t="s">
        <v>54</v>
      </c>
      <c r="AO5" s="99">
        <v>1</v>
      </c>
      <c r="AP5" s="84"/>
      <c r="AQ5" s="94" t="s">
        <v>52</v>
      </c>
      <c r="AR5" s="95">
        <v>6</v>
      </c>
    </row>
    <row r="6" spans="2:44" ht="12.75" customHeight="1">
      <c r="B6" s="77"/>
      <c r="C6" s="327"/>
      <c r="D6" s="298" t="s">
        <v>235</v>
      </c>
      <c r="E6" s="83"/>
      <c r="F6" s="795" t="s">
        <v>243</v>
      </c>
      <c r="G6" s="795"/>
      <c r="H6" s="795"/>
      <c r="I6" s="795"/>
      <c r="J6" s="93"/>
      <c r="K6" s="93"/>
      <c r="L6" s="93"/>
      <c r="M6" s="769" t="s">
        <v>234</v>
      </c>
      <c r="N6" s="770"/>
      <c r="O6" s="771"/>
      <c r="P6" s="353"/>
      <c r="Q6" s="78"/>
      <c r="AH6" s="96" t="s">
        <v>127</v>
      </c>
      <c r="AI6" s="134" t="s">
        <v>14</v>
      </c>
      <c r="AJ6" s="97" t="s">
        <v>76</v>
      </c>
      <c r="AK6" s="98">
        <v>4</v>
      </c>
      <c r="AL6" s="97" t="s">
        <v>76</v>
      </c>
      <c r="AM6" s="98">
        <v>1.5</v>
      </c>
      <c r="AN6" s="675" t="s">
        <v>54</v>
      </c>
      <c r="AO6" s="99">
        <v>1</v>
      </c>
      <c r="AP6" s="84"/>
      <c r="AQ6" s="100" t="s">
        <v>307</v>
      </c>
      <c r="AR6" s="101">
        <v>5</v>
      </c>
    </row>
    <row r="7" spans="2:44" ht="13.5" customHeight="1">
      <c r="B7" s="77"/>
      <c r="C7" s="328"/>
      <c r="D7" s="298" t="s">
        <v>122</v>
      </c>
      <c r="E7" s="83"/>
      <c r="F7" s="795"/>
      <c r="G7" s="795"/>
      <c r="H7" s="795"/>
      <c r="I7" s="795"/>
      <c r="J7" s="93"/>
      <c r="K7" s="93"/>
      <c r="L7" s="93"/>
      <c r="M7" s="772" t="s">
        <v>226</v>
      </c>
      <c r="N7" s="773"/>
      <c r="O7" s="774"/>
      <c r="P7" s="354"/>
      <c r="Q7" s="78"/>
      <c r="AH7" s="96" t="s">
        <v>128</v>
      </c>
      <c r="AI7" s="134" t="s">
        <v>15</v>
      </c>
      <c r="AJ7" s="97" t="s">
        <v>76</v>
      </c>
      <c r="AK7" s="98">
        <v>4</v>
      </c>
      <c r="AL7" s="97" t="s">
        <v>112</v>
      </c>
      <c r="AM7" s="98" t="s">
        <v>110</v>
      </c>
      <c r="AN7" s="675" t="s">
        <v>54</v>
      </c>
      <c r="AO7" s="99">
        <v>1</v>
      </c>
      <c r="AP7" s="84"/>
      <c r="AQ7" s="100" t="s">
        <v>76</v>
      </c>
      <c r="AR7" s="101">
        <v>4</v>
      </c>
    </row>
    <row r="8" spans="2:44" ht="13.5" customHeight="1">
      <c r="B8" s="77"/>
      <c r="C8" s="329"/>
      <c r="D8" s="298" t="s">
        <v>7</v>
      </c>
      <c r="E8" s="83"/>
      <c r="F8" s="795"/>
      <c r="G8" s="795"/>
      <c r="H8" s="795"/>
      <c r="I8" s="795"/>
      <c r="J8" s="93"/>
      <c r="K8" s="93"/>
      <c r="L8" s="93"/>
      <c r="M8" s="775" t="s">
        <v>227</v>
      </c>
      <c r="N8" s="776"/>
      <c r="O8" s="777"/>
      <c r="P8" s="354"/>
      <c r="Q8" s="78"/>
      <c r="AH8" s="96" t="s">
        <v>129</v>
      </c>
      <c r="AI8" s="134" t="s">
        <v>16</v>
      </c>
      <c r="AJ8" s="97" t="s">
        <v>54</v>
      </c>
      <c r="AK8" s="98">
        <v>2</v>
      </c>
      <c r="AL8" s="97" t="s">
        <v>76</v>
      </c>
      <c r="AM8" s="98">
        <v>1.5</v>
      </c>
      <c r="AN8" s="675" t="s">
        <v>54</v>
      </c>
      <c r="AO8" s="99">
        <v>1</v>
      </c>
      <c r="AP8" s="84"/>
      <c r="AQ8" s="611" t="s">
        <v>306</v>
      </c>
      <c r="AR8" s="612">
        <v>3</v>
      </c>
    </row>
    <row r="9" spans="2:44" ht="13.5" customHeight="1">
      <c r="B9" s="77"/>
      <c r="C9" s="330"/>
      <c r="D9" s="298" t="s">
        <v>73</v>
      </c>
      <c r="E9" s="83"/>
      <c r="F9" s="795"/>
      <c r="G9" s="795"/>
      <c r="H9" s="795"/>
      <c r="I9" s="795"/>
      <c r="J9" s="93"/>
      <c r="K9" s="93"/>
      <c r="L9" s="102"/>
      <c r="M9" s="778" t="s">
        <v>228</v>
      </c>
      <c r="N9" s="779"/>
      <c r="O9" s="780"/>
      <c r="P9" s="354"/>
      <c r="Q9" s="78"/>
      <c r="AH9" s="96" t="s">
        <v>130</v>
      </c>
      <c r="AI9" s="134" t="s">
        <v>17</v>
      </c>
      <c r="AJ9" s="97" t="s">
        <v>76</v>
      </c>
      <c r="AK9" s="98">
        <v>4</v>
      </c>
      <c r="AL9" s="97" t="s">
        <v>112</v>
      </c>
      <c r="AM9" s="98" t="s">
        <v>110</v>
      </c>
      <c r="AN9" s="675" t="s">
        <v>54</v>
      </c>
      <c r="AO9" s="99">
        <v>1</v>
      </c>
      <c r="AP9" s="84"/>
      <c r="AQ9" s="100" t="s">
        <v>54</v>
      </c>
      <c r="AR9" s="101">
        <v>2</v>
      </c>
    </row>
    <row r="10" spans="2:44" ht="13.5" customHeight="1" thickBot="1">
      <c r="B10" s="77"/>
      <c r="C10" s="302"/>
      <c r="D10" s="303" t="s">
        <v>144</v>
      </c>
      <c r="E10" s="93"/>
      <c r="F10" s="83"/>
      <c r="G10" s="83"/>
      <c r="H10" s="83"/>
      <c r="I10" s="83"/>
      <c r="J10" s="83"/>
      <c r="K10" s="83"/>
      <c r="L10" s="78"/>
      <c r="M10" s="78"/>
      <c r="N10" s="78"/>
      <c r="O10" s="78"/>
      <c r="P10" s="78"/>
      <c r="Q10" s="78"/>
      <c r="AH10" s="96" t="s">
        <v>131</v>
      </c>
      <c r="AI10" s="134" t="s">
        <v>18</v>
      </c>
      <c r="AJ10" s="97" t="s">
        <v>54</v>
      </c>
      <c r="AK10" s="98">
        <v>2</v>
      </c>
      <c r="AL10" s="97" t="s">
        <v>76</v>
      </c>
      <c r="AM10" s="98">
        <v>1.5</v>
      </c>
      <c r="AN10" s="675" t="s">
        <v>54</v>
      </c>
      <c r="AO10" s="99">
        <v>1</v>
      </c>
      <c r="AP10" s="84"/>
      <c r="AQ10" s="103" t="s">
        <v>114</v>
      </c>
      <c r="AR10" s="104">
        <v>0</v>
      </c>
    </row>
    <row r="11" spans="4:65" s="105" customFormat="1" ht="13.5" thickBot="1">
      <c r="D11" s="106"/>
      <c r="E11" s="86"/>
      <c r="H11" s="86"/>
      <c r="I11" s="86"/>
      <c r="J11" s="781" t="s">
        <v>239</v>
      </c>
      <c r="K11" s="782"/>
      <c r="L11" s="782"/>
      <c r="M11" s="782"/>
      <c r="N11" s="782"/>
      <c r="O11" s="783"/>
      <c r="P11" s="355"/>
      <c r="Q11" s="86"/>
      <c r="AG11" s="107"/>
      <c r="AH11" s="96" t="s">
        <v>132</v>
      </c>
      <c r="AI11" s="134" t="s">
        <v>112</v>
      </c>
      <c r="AJ11" s="97" t="s">
        <v>52</v>
      </c>
      <c r="AK11" s="98">
        <v>6</v>
      </c>
      <c r="AL11" s="97" t="s">
        <v>76</v>
      </c>
      <c r="AM11" s="98">
        <v>1.5</v>
      </c>
      <c r="AN11" s="97" t="s">
        <v>76</v>
      </c>
      <c r="AO11" s="98">
        <v>1.5</v>
      </c>
      <c r="AP11" s="84"/>
      <c r="AS11" s="107"/>
      <c r="AT11" s="107"/>
      <c r="AU11" s="107"/>
      <c r="AV11" s="107"/>
      <c r="AW11" s="107"/>
      <c r="AX11" s="107"/>
      <c r="AY11" s="107"/>
      <c r="AZ11" s="107"/>
      <c r="BA11" s="107"/>
      <c r="BB11" s="107"/>
      <c r="BC11" s="107"/>
      <c r="BD11" s="107"/>
      <c r="BE11" s="107"/>
      <c r="BF11" s="107"/>
      <c r="BG11" s="107"/>
      <c r="BH11" s="107"/>
      <c r="BI11" s="107"/>
      <c r="BJ11" s="107"/>
      <c r="BK11" s="107"/>
      <c r="BL11" s="107"/>
      <c r="BM11" s="107"/>
    </row>
    <row r="12" spans="1:65" s="113" customFormat="1" ht="39" customHeight="1" thickBot="1">
      <c r="A12" s="78"/>
      <c r="B12" s="78"/>
      <c r="C12" s="727" t="s">
        <v>236</v>
      </c>
      <c r="D12" s="728"/>
      <c r="E12" s="729"/>
      <c r="F12" s="742" t="s">
        <v>237</v>
      </c>
      <c r="G12" s="743"/>
      <c r="H12" s="742" t="s">
        <v>238</v>
      </c>
      <c r="I12" s="743"/>
      <c r="J12" s="737" t="s">
        <v>240</v>
      </c>
      <c r="K12" s="738"/>
      <c r="L12" s="793" t="s">
        <v>303</v>
      </c>
      <c r="M12" s="793"/>
      <c r="N12" s="789" t="s">
        <v>241</v>
      </c>
      <c r="O12" s="790"/>
      <c r="P12" s="356"/>
      <c r="Q12" s="78"/>
      <c r="R12" s="78"/>
      <c r="S12" s="78"/>
      <c r="T12" s="78"/>
      <c r="U12" s="78"/>
      <c r="V12" s="78"/>
      <c r="W12" s="78"/>
      <c r="X12" s="78"/>
      <c r="Y12" s="78"/>
      <c r="Z12" s="78"/>
      <c r="AA12" s="78"/>
      <c r="AB12" s="78"/>
      <c r="AC12" s="78"/>
      <c r="AD12" s="78"/>
      <c r="AE12" s="78"/>
      <c r="AF12" s="78"/>
      <c r="AG12" s="110"/>
      <c r="AH12" s="96" t="s">
        <v>148</v>
      </c>
      <c r="AI12" s="134" t="s">
        <v>19</v>
      </c>
      <c r="AJ12" s="97" t="s">
        <v>306</v>
      </c>
      <c r="AK12" s="98">
        <v>3</v>
      </c>
      <c r="AL12" s="97" t="s">
        <v>54</v>
      </c>
      <c r="AM12" s="98">
        <v>1</v>
      </c>
      <c r="AN12" s="675" t="s">
        <v>54</v>
      </c>
      <c r="AO12" s="99">
        <v>1</v>
      </c>
      <c r="AP12" s="84"/>
      <c r="AQ12" s="108" t="s">
        <v>1</v>
      </c>
      <c r="AR12" s="109"/>
      <c r="AS12" s="110"/>
      <c r="AT12" s="110"/>
      <c r="AU12" s="110"/>
      <c r="AV12" s="110"/>
      <c r="AW12" s="110"/>
      <c r="AX12" s="110"/>
      <c r="AY12" s="110"/>
      <c r="AZ12" s="110"/>
      <c r="BA12" s="110"/>
      <c r="BB12" s="110"/>
      <c r="BC12" s="110"/>
      <c r="BD12" s="110"/>
      <c r="BE12" s="110"/>
      <c r="BF12" s="110"/>
      <c r="BG12" s="110"/>
      <c r="BH12" s="110"/>
      <c r="BI12" s="110"/>
      <c r="BJ12" s="110"/>
      <c r="BK12" s="110"/>
      <c r="BL12" s="110"/>
      <c r="BM12" s="110"/>
    </row>
    <row r="13" spans="2:44" ht="26.25" thickBot="1">
      <c r="B13" s="239" t="s">
        <v>11</v>
      </c>
      <c r="C13" s="240" t="s">
        <v>10</v>
      </c>
      <c r="D13" s="241" t="s">
        <v>209</v>
      </c>
      <c r="E13" s="242" t="s">
        <v>304</v>
      </c>
      <c r="F13" s="243" t="s">
        <v>0</v>
      </c>
      <c r="G13" s="244" t="s">
        <v>80</v>
      </c>
      <c r="H13" s="243" t="s">
        <v>1</v>
      </c>
      <c r="I13" s="244" t="s">
        <v>80</v>
      </c>
      <c r="J13" s="228" t="s">
        <v>305</v>
      </c>
      <c r="K13" s="229" t="s">
        <v>197</v>
      </c>
      <c r="L13" s="230" t="s">
        <v>305</v>
      </c>
      <c r="M13" s="231" t="s">
        <v>197</v>
      </c>
      <c r="N13" s="228" t="s">
        <v>305</v>
      </c>
      <c r="O13" s="229" t="s">
        <v>197</v>
      </c>
      <c r="P13" s="372" t="s">
        <v>9</v>
      </c>
      <c r="Q13" s="373"/>
      <c r="AH13" s="96" t="s">
        <v>149</v>
      </c>
      <c r="AI13" s="134" t="s">
        <v>20</v>
      </c>
      <c r="AJ13" s="97" t="s">
        <v>76</v>
      </c>
      <c r="AK13" s="98">
        <v>4</v>
      </c>
      <c r="AL13" s="97" t="s">
        <v>54</v>
      </c>
      <c r="AM13" s="98">
        <v>1</v>
      </c>
      <c r="AN13" s="675" t="s">
        <v>54</v>
      </c>
      <c r="AO13" s="99">
        <v>1</v>
      </c>
      <c r="AP13" s="84"/>
      <c r="AQ13" s="111" t="s">
        <v>70</v>
      </c>
      <c r="AR13" s="112">
        <v>3</v>
      </c>
    </row>
    <row r="14" spans="2:44" ht="26.25" thickBot="1">
      <c r="B14" s="232"/>
      <c r="C14" s="233"/>
      <c r="D14" s="234" t="s">
        <v>291</v>
      </c>
      <c r="E14" s="235"/>
      <c r="F14" s="236"/>
      <c r="G14" s="235" t="s">
        <v>2</v>
      </c>
      <c r="H14" s="236"/>
      <c r="I14" s="235" t="s">
        <v>3</v>
      </c>
      <c r="J14" s="236" t="s">
        <v>4</v>
      </c>
      <c r="K14" s="237" t="s">
        <v>191</v>
      </c>
      <c r="L14" s="236" t="s">
        <v>141</v>
      </c>
      <c r="M14" s="237" t="s">
        <v>192</v>
      </c>
      <c r="N14" s="236" t="s">
        <v>119</v>
      </c>
      <c r="O14" s="238" t="s">
        <v>193</v>
      </c>
      <c r="P14" s="120"/>
      <c r="Q14" s="391"/>
      <c r="AH14" s="96" t="s">
        <v>335</v>
      </c>
      <c r="AI14" s="134" t="s">
        <v>59</v>
      </c>
      <c r="AJ14" s="97" t="s">
        <v>76</v>
      </c>
      <c r="AK14" s="98">
        <v>4</v>
      </c>
      <c r="AL14" s="97" t="s">
        <v>54</v>
      </c>
      <c r="AM14" s="98">
        <v>1</v>
      </c>
      <c r="AN14" s="675" t="s">
        <v>54</v>
      </c>
      <c r="AO14" s="99">
        <v>1</v>
      </c>
      <c r="AP14" s="84"/>
      <c r="AQ14" s="100" t="s">
        <v>53</v>
      </c>
      <c r="AR14" s="101">
        <v>2</v>
      </c>
    </row>
    <row r="15" spans="1:65" s="118" customFormat="1" ht="13.5" thickBot="1">
      <c r="A15" s="115"/>
      <c r="B15" s="487"/>
      <c r="C15" s="488" t="str">
        <f aca="true" t="shared" si="0" ref="C15:C44">IF($D15&gt;0,(VLOOKUP($D15,$AH$52:$AO$68,2,FALSE)),"")</f>
        <v>J21</v>
      </c>
      <c r="D15" s="834" t="s">
        <v>185</v>
      </c>
      <c r="E15" s="632">
        <v>0.93</v>
      </c>
      <c r="F15" s="629" t="str">
        <f aca="true" t="shared" si="1" ref="F15:F44">IF($D15&gt;0,(VLOOKUP($D15,$AH$52:$AO$68,3,FALSE)),"")</f>
        <v>Medium</v>
      </c>
      <c r="G15" s="315">
        <f aca="true" t="shared" si="2" ref="G15:G44">IF($D15&gt;0,(VLOOKUP($F15,$AQ$5:$AR$10,2,FALSE)),"")</f>
        <v>4</v>
      </c>
      <c r="H15" s="199" t="s">
        <v>53</v>
      </c>
      <c r="I15" s="318">
        <f aca="true" t="shared" si="3" ref="I15:I44">IF($H15&gt;0,(VLOOKUP($H15,$AQ$13:$AR$15,2,FALSE)),"")</f>
        <v>2</v>
      </c>
      <c r="J15" s="190">
        <v>0</v>
      </c>
      <c r="K15" s="321">
        <f>IF(J15&gt;0,(J15*G15*I15),"")</f>
      </c>
      <c r="L15" s="190">
        <v>0.77</v>
      </c>
      <c r="M15" s="321">
        <f aca="true" t="shared" si="4" ref="M15:M44">IF(L15&gt;0,(L15*G15*I15),"")</f>
        <v>6.16</v>
      </c>
      <c r="N15" s="324">
        <f>IF((E15-J15-L15)&gt;0,(E15-J15-L15),"")</f>
        <v>0.16000000000000003</v>
      </c>
      <c r="O15" s="321">
        <f>IF((D15&gt;0)*AND((E15-J15-L15)&gt;0),(N15*G15*I15),"")</f>
        <v>1.2800000000000002</v>
      </c>
      <c r="P15" s="836" t="s">
        <v>361</v>
      </c>
      <c r="Q15" s="371"/>
      <c r="R15" s="115"/>
      <c r="S15" s="115"/>
      <c r="T15" s="115"/>
      <c r="U15" s="115"/>
      <c r="V15" s="115"/>
      <c r="W15" s="115"/>
      <c r="X15" s="115"/>
      <c r="Y15" s="115"/>
      <c r="Z15" s="115"/>
      <c r="AA15" s="115"/>
      <c r="AB15" s="115"/>
      <c r="AC15" s="115"/>
      <c r="AD15" s="115"/>
      <c r="AE15" s="115"/>
      <c r="AF15" s="115"/>
      <c r="AG15" s="117"/>
      <c r="AH15" s="96" t="s">
        <v>336</v>
      </c>
      <c r="AI15" s="134" t="s">
        <v>21</v>
      </c>
      <c r="AJ15" s="97" t="s">
        <v>52</v>
      </c>
      <c r="AK15" s="98">
        <v>6</v>
      </c>
      <c r="AL15" s="97" t="s">
        <v>76</v>
      </c>
      <c r="AM15" s="98">
        <v>1.5</v>
      </c>
      <c r="AN15" s="675" t="s">
        <v>54</v>
      </c>
      <c r="AO15" s="99">
        <v>1</v>
      </c>
      <c r="AP15" s="84"/>
      <c r="AQ15" s="103" t="s">
        <v>71</v>
      </c>
      <c r="AR15" s="104">
        <v>1</v>
      </c>
      <c r="AS15" s="117"/>
      <c r="AT15" s="117"/>
      <c r="AU15" s="117"/>
      <c r="AV15" s="117"/>
      <c r="AW15" s="117"/>
      <c r="AX15" s="117"/>
      <c r="AY15" s="117"/>
      <c r="AZ15" s="117"/>
      <c r="BA15" s="117"/>
      <c r="BB15" s="117"/>
      <c r="BC15" s="117"/>
      <c r="BD15" s="117"/>
      <c r="BE15" s="117"/>
      <c r="BF15" s="117"/>
      <c r="BG15" s="117"/>
      <c r="BH15" s="117"/>
      <c r="BI15" s="117"/>
      <c r="BJ15" s="117"/>
      <c r="BK15" s="117"/>
      <c r="BL15" s="117"/>
      <c r="BM15" s="117"/>
    </row>
    <row r="16" spans="2:44" ht="13.5" thickBot="1">
      <c r="B16" s="203"/>
      <c r="C16" s="490" t="str">
        <f t="shared" si="0"/>
        <v>J231</v>
      </c>
      <c r="D16" s="835" t="s">
        <v>181</v>
      </c>
      <c r="E16" s="633">
        <v>0.59</v>
      </c>
      <c r="F16" s="630" t="str">
        <f t="shared" si="1"/>
        <v>High</v>
      </c>
      <c r="G16" s="316">
        <f t="shared" si="2"/>
        <v>6</v>
      </c>
      <c r="H16" s="313" t="s">
        <v>70</v>
      </c>
      <c r="I16" s="319">
        <f t="shared" si="3"/>
        <v>3</v>
      </c>
      <c r="J16" s="192">
        <v>0.59</v>
      </c>
      <c r="K16" s="322">
        <f aca="true" t="shared" si="5" ref="K16:K44">IF(J16&gt;0,(J16*G16*I16),"")</f>
        <v>10.620000000000001</v>
      </c>
      <c r="L16" s="192">
        <v>0</v>
      </c>
      <c r="M16" s="322">
        <f t="shared" si="4"/>
      </c>
      <c r="N16" s="325">
        <f aca="true" t="shared" si="6" ref="N16:N44">IF((E16-J16-L16)&gt;0,(E16-J16-L16),"")</f>
      </c>
      <c r="O16" s="322">
        <f aca="true" t="shared" si="7" ref="O16:O44">IF((D16&gt;0)*AND((E16-J16-L16)&gt;0),(N16*G16*I16),"")</f>
      </c>
      <c r="P16" s="837" t="s">
        <v>362</v>
      </c>
      <c r="Q16" s="388"/>
      <c r="AH16" s="96" t="s">
        <v>337</v>
      </c>
      <c r="AI16" s="134" t="s">
        <v>22</v>
      </c>
      <c r="AJ16" s="97" t="s">
        <v>76</v>
      </c>
      <c r="AK16" s="98">
        <v>4</v>
      </c>
      <c r="AL16" s="97" t="s">
        <v>76</v>
      </c>
      <c r="AM16" s="98">
        <v>1.5</v>
      </c>
      <c r="AN16" s="675" t="s">
        <v>54</v>
      </c>
      <c r="AO16" s="99">
        <v>1</v>
      </c>
      <c r="AP16" s="84"/>
      <c r="AQ16" s="84"/>
      <c r="AR16" s="84"/>
    </row>
    <row r="17" spans="2:44" ht="13.5" thickBot="1">
      <c r="B17" s="203"/>
      <c r="C17" s="490" t="str">
        <f t="shared" si="0"/>
        <v>J26</v>
      </c>
      <c r="D17" s="835" t="s">
        <v>176</v>
      </c>
      <c r="E17" s="633">
        <v>0.86</v>
      </c>
      <c r="F17" s="630" t="str">
        <f t="shared" si="1"/>
        <v>Low</v>
      </c>
      <c r="G17" s="316">
        <f t="shared" si="2"/>
        <v>2</v>
      </c>
      <c r="H17" s="313" t="s">
        <v>71</v>
      </c>
      <c r="I17" s="319">
        <f t="shared" si="3"/>
        <v>1</v>
      </c>
      <c r="J17" s="192">
        <v>0.86</v>
      </c>
      <c r="K17" s="322">
        <f t="shared" si="5"/>
        <v>1.72</v>
      </c>
      <c r="L17" s="192">
        <v>0</v>
      </c>
      <c r="M17" s="322">
        <f t="shared" si="4"/>
      </c>
      <c r="N17" s="325">
        <f t="shared" si="6"/>
      </c>
      <c r="O17" s="322">
        <f t="shared" si="7"/>
      </c>
      <c r="P17" s="837" t="s">
        <v>363</v>
      </c>
      <c r="Q17" s="388"/>
      <c r="AH17" s="96" t="s">
        <v>150</v>
      </c>
      <c r="AI17" s="134" t="s">
        <v>23</v>
      </c>
      <c r="AJ17" s="97" t="s">
        <v>54</v>
      </c>
      <c r="AK17" s="98">
        <v>2</v>
      </c>
      <c r="AL17" s="97" t="s">
        <v>112</v>
      </c>
      <c r="AM17" s="98" t="s">
        <v>110</v>
      </c>
      <c r="AN17" s="97" t="s">
        <v>112</v>
      </c>
      <c r="AO17" s="98" t="s">
        <v>110</v>
      </c>
      <c r="AP17" s="84"/>
      <c r="AQ17" s="108" t="s">
        <v>85</v>
      </c>
      <c r="AR17" s="109"/>
    </row>
    <row r="18" spans="2:44" ht="12.75">
      <c r="B18" s="203"/>
      <c r="C18" s="490" t="str">
        <f t="shared" si="0"/>
        <v>G2</v>
      </c>
      <c r="D18" s="835" t="s">
        <v>179</v>
      </c>
      <c r="E18" s="633">
        <v>0.65</v>
      </c>
      <c r="F18" s="630" t="str">
        <f t="shared" si="1"/>
        <v>High</v>
      </c>
      <c r="G18" s="316">
        <f t="shared" si="2"/>
        <v>6</v>
      </c>
      <c r="H18" s="313" t="s">
        <v>71</v>
      </c>
      <c r="I18" s="319">
        <f t="shared" si="3"/>
        <v>1</v>
      </c>
      <c r="J18" s="192">
        <v>0.56</v>
      </c>
      <c r="K18" s="322">
        <f t="shared" si="5"/>
        <v>3.3600000000000003</v>
      </c>
      <c r="L18" s="192">
        <v>0</v>
      </c>
      <c r="M18" s="322">
        <f t="shared" si="4"/>
      </c>
      <c r="N18" s="325">
        <f t="shared" si="6"/>
        <v>0.08999999999999997</v>
      </c>
      <c r="O18" s="322">
        <f t="shared" si="7"/>
        <v>0.5399999999999998</v>
      </c>
      <c r="P18" s="837" t="s">
        <v>363</v>
      </c>
      <c r="Q18" s="388"/>
      <c r="AH18" s="96" t="s">
        <v>151</v>
      </c>
      <c r="AI18" s="134" t="s">
        <v>24</v>
      </c>
      <c r="AJ18" s="97" t="s">
        <v>52</v>
      </c>
      <c r="AK18" s="98">
        <v>6</v>
      </c>
      <c r="AL18" s="97" t="s">
        <v>54</v>
      </c>
      <c r="AM18" s="98">
        <v>1</v>
      </c>
      <c r="AN18" s="675" t="s">
        <v>54</v>
      </c>
      <c r="AO18" s="99">
        <v>1</v>
      </c>
      <c r="AP18" s="84"/>
      <c r="AQ18" s="111" t="s">
        <v>86</v>
      </c>
      <c r="AR18" s="112">
        <v>1.2</v>
      </c>
    </row>
    <row r="19" spans="2:44" ht="12.75">
      <c r="B19" s="203"/>
      <c r="C19" s="490">
        <f t="shared" si="0"/>
      </c>
      <c r="D19" s="491"/>
      <c r="E19" s="633"/>
      <c r="F19" s="630">
        <f t="shared" si="1"/>
      </c>
      <c r="G19" s="316">
        <f t="shared" si="2"/>
      </c>
      <c r="H19" s="313"/>
      <c r="I19" s="319">
        <f t="shared" si="3"/>
      </c>
      <c r="J19" s="192"/>
      <c r="K19" s="322">
        <f t="shared" si="5"/>
      </c>
      <c r="L19" s="192"/>
      <c r="M19" s="322">
        <f t="shared" si="4"/>
      </c>
      <c r="N19" s="325">
        <f t="shared" si="6"/>
      </c>
      <c r="O19" s="322">
        <f t="shared" si="7"/>
      </c>
      <c r="P19" s="492"/>
      <c r="Q19" s="388"/>
      <c r="AH19" s="96" t="s">
        <v>152</v>
      </c>
      <c r="AI19" s="134" t="s">
        <v>25</v>
      </c>
      <c r="AJ19" s="97" t="s">
        <v>52</v>
      </c>
      <c r="AK19" s="98">
        <v>6</v>
      </c>
      <c r="AL19" s="97" t="s">
        <v>76</v>
      </c>
      <c r="AM19" s="98">
        <v>1.5</v>
      </c>
      <c r="AN19" s="675" t="s">
        <v>54</v>
      </c>
      <c r="AO19" s="99">
        <v>1</v>
      </c>
      <c r="AP19" s="84"/>
      <c r="AQ19" s="100" t="s">
        <v>87</v>
      </c>
      <c r="AR19" s="101">
        <v>1.4</v>
      </c>
    </row>
    <row r="20" spans="2:44" ht="12.75">
      <c r="B20" s="203"/>
      <c r="C20" s="490">
        <f t="shared" si="0"/>
      </c>
      <c r="D20" s="491"/>
      <c r="E20" s="633"/>
      <c r="F20" s="630">
        <f t="shared" si="1"/>
      </c>
      <c r="G20" s="316">
        <f t="shared" si="2"/>
      </c>
      <c r="H20" s="313"/>
      <c r="I20" s="319">
        <f t="shared" si="3"/>
      </c>
      <c r="J20" s="192"/>
      <c r="K20" s="322">
        <f t="shared" si="5"/>
      </c>
      <c r="L20" s="192"/>
      <c r="M20" s="322">
        <f t="shared" si="4"/>
      </c>
      <c r="N20" s="325">
        <f t="shared" si="6"/>
      </c>
      <c r="O20" s="322">
        <f t="shared" si="7"/>
      </c>
      <c r="P20" s="492"/>
      <c r="Q20" s="388"/>
      <c r="AH20" s="96" t="s">
        <v>153</v>
      </c>
      <c r="AI20" s="134" t="s">
        <v>26</v>
      </c>
      <c r="AJ20" s="97" t="s">
        <v>307</v>
      </c>
      <c r="AK20" s="98">
        <v>5</v>
      </c>
      <c r="AL20" s="97" t="s">
        <v>76</v>
      </c>
      <c r="AM20" s="98">
        <v>1.5</v>
      </c>
      <c r="AN20" s="675" t="s">
        <v>54</v>
      </c>
      <c r="AO20" s="99">
        <v>1</v>
      </c>
      <c r="AP20" s="84"/>
      <c r="AQ20" s="100" t="s">
        <v>88</v>
      </c>
      <c r="AR20" s="101">
        <v>1.7</v>
      </c>
    </row>
    <row r="21" spans="2:44" ht="12.75">
      <c r="B21" s="203"/>
      <c r="C21" s="490">
        <f t="shared" si="0"/>
      </c>
      <c r="D21" s="491"/>
      <c r="E21" s="633"/>
      <c r="F21" s="630">
        <f t="shared" si="1"/>
      </c>
      <c r="G21" s="316">
        <f t="shared" si="2"/>
      </c>
      <c r="H21" s="313"/>
      <c r="I21" s="319">
        <f t="shared" si="3"/>
      </c>
      <c r="J21" s="192"/>
      <c r="K21" s="322">
        <f t="shared" si="5"/>
      </c>
      <c r="L21" s="192"/>
      <c r="M21" s="322">
        <f t="shared" si="4"/>
      </c>
      <c r="N21" s="325">
        <f t="shared" si="6"/>
      </c>
      <c r="O21" s="322">
        <f t="shared" si="7"/>
      </c>
      <c r="P21" s="492"/>
      <c r="Q21" s="388"/>
      <c r="AH21" s="96" t="s">
        <v>154</v>
      </c>
      <c r="AI21" s="134" t="s">
        <v>27</v>
      </c>
      <c r="AJ21" s="97" t="s">
        <v>52</v>
      </c>
      <c r="AK21" s="98">
        <v>6</v>
      </c>
      <c r="AL21" s="97" t="s">
        <v>76</v>
      </c>
      <c r="AM21" s="98">
        <v>1.5</v>
      </c>
      <c r="AN21" s="675" t="s">
        <v>54</v>
      </c>
      <c r="AO21" s="99">
        <v>1</v>
      </c>
      <c r="AP21" s="84"/>
      <c r="AQ21" s="100" t="s">
        <v>89</v>
      </c>
      <c r="AR21" s="101">
        <v>2</v>
      </c>
    </row>
    <row r="22" spans="2:44" ht="12.75">
      <c r="B22" s="203"/>
      <c r="C22" s="490">
        <f t="shared" si="0"/>
      </c>
      <c r="D22" s="491"/>
      <c r="E22" s="633"/>
      <c r="F22" s="630">
        <f t="shared" si="1"/>
      </c>
      <c r="G22" s="316">
        <f t="shared" si="2"/>
      </c>
      <c r="H22" s="313"/>
      <c r="I22" s="319">
        <f t="shared" si="3"/>
      </c>
      <c r="J22" s="192"/>
      <c r="K22" s="322">
        <f t="shared" si="5"/>
      </c>
      <c r="L22" s="192"/>
      <c r="M22" s="322">
        <f t="shared" si="4"/>
      </c>
      <c r="N22" s="325">
        <f t="shared" si="6"/>
      </c>
      <c r="O22" s="322">
        <f t="shared" si="7"/>
      </c>
      <c r="P22" s="492"/>
      <c r="Q22" s="388"/>
      <c r="AH22" s="96" t="s">
        <v>155</v>
      </c>
      <c r="AI22" s="134" t="s">
        <v>28</v>
      </c>
      <c r="AJ22" s="97" t="s">
        <v>76</v>
      </c>
      <c r="AK22" s="98">
        <v>4</v>
      </c>
      <c r="AL22" s="97" t="s">
        <v>76</v>
      </c>
      <c r="AM22" s="98">
        <v>1.5</v>
      </c>
      <c r="AN22" s="675" t="s">
        <v>54</v>
      </c>
      <c r="AO22" s="99">
        <v>1</v>
      </c>
      <c r="AP22" s="84"/>
      <c r="AQ22" s="100" t="s">
        <v>90</v>
      </c>
      <c r="AR22" s="101">
        <v>2.4</v>
      </c>
    </row>
    <row r="23" spans="2:44" ht="12.75">
      <c r="B23" s="203"/>
      <c r="C23" s="490">
        <f t="shared" si="0"/>
      </c>
      <c r="D23" s="491"/>
      <c r="E23" s="633"/>
      <c r="F23" s="630">
        <f t="shared" si="1"/>
      </c>
      <c r="G23" s="316">
        <f t="shared" si="2"/>
      </c>
      <c r="H23" s="313"/>
      <c r="I23" s="319">
        <f t="shared" si="3"/>
      </c>
      <c r="J23" s="192"/>
      <c r="K23" s="322">
        <f t="shared" si="5"/>
      </c>
      <c r="L23" s="192"/>
      <c r="M23" s="322">
        <f t="shared" si="4"/>
      </c>
      <c r="N23" s="325">
        <f t="shared" si="6"/>
      </c>
      <c r="O23" s="322">
        <f t="shared" si="7"/>
      </c>
      <c r="P23" s="492"/>
      <c r="Q23" s="388"/>
      <c r="AH23" s="96" t="s">
        <v>156</v>
      </c>
      <c r="AI23" s="134" t="s">
        <v>29</v>
      </c>
      <c r="AJ23" s="97" t="s">
        <v>52</v>
      </c>
      <c r="AK23" s="98">
        <v>6</v>
      </c>
      <c r="AL23" s="97" t="s">
        <v>76</v>
      </c>
      <c r="AM23" s="98">
        <v>1.5</v>
      </c>
      <c r="AN23" s="675" t="s">
        <v>54</v>
      </c>
      <c r="AO23" s="99">
        <v>1</v>
      </c>
      <c r="AP23" s="84"/>
      <c r="AQ23" s="100" t="s">
        <v>91</v>
      </c>
      <c r="AR23" s="101">
        <v>2.8</v>
      </c>
    </row>
    <row r="24" spans="2:44" ht="13.5" thickBot="1">
      <c r="B24" s="203"/>
      <c r="C24" s="490">
        <f t="shared" si="0"/>
      </c>
      <c r="D24" s="491"/>
      <c r="E24" s="633"/>
      <c r="F24" s="630">
        <f t="shared" si="1"/>
      </c>
      <c r="G24" s="316">
        <f t="shared" si="2"/>
      </c>
      <c r="H24" s="313"/>
      <c r="I24" s="319">
        <f t="shared" si="3"/>
      </c>
      <c r="J24" s="192"/>
      <c r="K24" s="322">
        <f t="shared" si="5"/>
      </c>
      <c r="L24" s="192"/>
      <c r="M24" s="322">
        <f t="shared" si="4"/>
      </c>
      <c r="N24" s="325">
        <f t="shared" si="6"/>
      </c>
      <c r="O24" s="322">
        <f t="shared" si="7"/>
      </c>
      <c r="P24" s="492"/>
      <c r="Q24" s="388"/>
      <c r="AH24" s="96" t="s">
        <v>157</v>
      </c>
      <c r="AI24" s="134" t="s">
        <v>30</v>
      </c>
      <c r="AJ24" s="97" t="s">
        <v>307</v>
      </c>
      <c r="AK24" s="98">
        <v>5</v>
      </c>
      <c r="AL24" s="97" t="s">
        <v>76</v>
      </c>
      <c r="AM24" s="98">
        <v>1.5</v>
      </c>
      <c r="AN24" s="675" t="s">
        <v>54</v>
      </c>
      <c r="AO24" s="99">
        <v>1</v>
      </c>
      <c r="AP24" s="84"/>
      <c r="AQ24" s="103" t="s">
        <v>92</v>
      </c>
      <c r="AR24" s="104">
        <v>3</v>
      </c>
    </row>
    <row r="25" spans="2:44" ht="13.5" thickBot="1">
      <c r="B25" s="203"/>
      <c r="C25" s="490">
        <f t="shared" si="0"/>
      </c>
      <c r="D25" s="491"/>
      <c r="E25" s="633"/>
      <c r="F25" s="630">
        <f t="shared" si="1"/>
      </c>
      <c r="G25" s="316">
        <f t="shared" si="2"/>
      </c>
      <c r="H25" s="313"/>
      <c r="I25" s="319">
        <f t="shared" si="3"/>
      </c>
      <c r="J25" s="192"/>
      <c r="K25" s="322">
        <f t="shared" si="5"/>
      </c>
      <c r="L25" s="192"/>
      <c r="M25" s="322">
        <f t="shared" si="4"/>
      </c>
      <c r="N25" s="325">
        <f t="shared" si="6"/>
      </c>
      <c r="O25" s="322">
        <f t="shared" si="7"/>
      </c>
      <c r="P25" s="492"/>
      <c r="Q25" s="388"/>
      <c r="AH25" s="96" t="s">
        <v>158</v>
      </c>
      <c r="AI25" s="134" t="s">
        <v>33</v>
      </c>
      <c r="AJ25" s="97" t="s">
        <v>306</v>
      </c>
      <c r="AK25" s="98">
        <v>3</v>
      </c>
      <c r="AL25" s="97" t="s">
        <v>76</v>
      </c>
      <c r="AM25" s="98">
        <v>1.5</v>
      </c>
      <c r="AN25" s="675" t="s">
        <v>54</v>
      </c>
      <c r="AO25" s="99">
        <v>1</v>
      </c>
      <c r="AP25" s="84"/>
      <c r="AQ25" s="84"/>
      <c r="AR25" s="84"/>
    </row>
    <row r="26" spans="2:44" ht="13.5" thickBot="1">
      <c r="B26" s="203"/>
      <c r="C26" s="490">
        <f t="shared" si="0"/>
      </c>
      <c r="D26" s="491"/>
      <c r="E26" s="633"/>
      <c r="F26" s="630">
        <f t="shared" si="1"/>
      </c>
      <c r="G26" s="316">
        <f t="shared" si="2"/>
      </c>
      <c r="H26" s="313"/>
      <c r="I26" s="319">
        <f t="shared" si="3"/>
      </c>
      <c r="J26" s="192"/>
      <c r="K26" s="322">
        <f t="shared" si="5"/>
      </c>
      <c r="L26" s="192"/>
      <c r="M26" s="322">
        <f t="shared" si="4"/>
      </c>
      <c r="N26" s="325">
        <f t="shared" si="6"/>
      </c>
      <c r="O26" s="322">
        <f t="shared" si="7"/>
      </c>
      <c r="P26" s="492"/>
      <c r="Q26" s="388"/>
      <c r="AH26" s="96" t="s">
        <v>159</v>
      </c>
      <c r="AI26" s="134" t="s">
        <v>31</v>
      </c>
      <c r="AJ26" s="97" t="s">
        <v>54</v>
      </c>
      <c r="AK26" s="98">
        <v>2</v>
      </c>
      <c r="AL26" s="97" t="s">
        <v>112</v>
      </c>
      <c r="AM26" s="98" t="s">
        <v>110</v>
      </c>
      <c r="AN26" s="675" t="s">
        <v>54</v>
      </c>
      <c r="AO26" s="99">
        <v>1</v>
      </c>
      <c r="AP26" s="84"/>
      <c r="AQ26" s="108" t="s">
        <v>78</v>
      </c>
      <c r="AR26" s="109"/>
    </row>
    <row r="27" spans="2:44" ht="12.75">
      <c r="B27" s="203"/>
      <c r="C27" s="490">
        <f t="shared" si="0"/>
      </c>
      <c r="D27" s="491"/>
      <c r="E27" s="633"/>
      <c r="F27" s="630">
        <f t="shared" si="1"/>
      </c>
      <c r="G27" s="316">
        <f t="shared" si="2"/>
      </c>
      <c r="H27" s="313"/>
      <c r="I27" s="319">
        <f t="shared" si="3"/>
      </c>
      <c r="J27" s="192"/>
      <c r="K27" s="322">
        <f t="shared" si="5"/>
      </c>
      <c r="L27" s="192"/>
      <c r="M27" s="322">
        <f t="shared" si="4"/>
      </c>
      <c r="N27" s="325">
        <f t="shared" si="6"/>
      </c>
      <c r="O27" s="322">
        <f t="shared" si="7"/>
      </c>
      <c r="P27" s="492"/>
      <c r="Q27" s="388"/>
      <c r="AH27" s="96" t="s">
        <v>162</v>
      </c>
      <c r="AI27" s="134" t="s">
        <v>32</v>
      </c>
      <c r="AJ27" s="97" t="s">
        <v>52</v>
      </c>
      <c r="AK27" s="98">
        <v>6</v>
      </c>
      <c r="AL27" s="97" t="s">
        <v>52</v>
      </c>
      <c r="AM27" s="98">
        <v>3</v>
      </c>
      <c r="AN27" s="675" t="s">
        <v>76</v>
      </c>
      <c r="AO27" s="99">
        <v>1.5</v>
      </c>
      <c r="AP27" s="84"/>
      <c r="AQ27" s="111" t="s">
        <v>255</v>
      </c>
      <c r="AR27" s="112">
        <v>10</v>
      </c>
    </row>
    <row r="28" spans="2:44" ht="12.75">
      <c r="B28" s="203"/>
      <c r="C28" s="490">
        <f t="shared" si="0"/>
      </c>
      <c r="D28" s="491"/>
      <c r="E28" s="633"/>
      <c r="F28" s="630">
        <f t="shared" si="1"/>
      </c>
      <c r="G28" s="316">
        <f t="shared" si="2"/>
      </c>
      <c r="H28" s="313"/>
      <c r="I28" s="319">
        <f t="shared" si="3"/>
      </c>
      <c r="J28" s="192"/>
      <c r="K28" s="322">
        <f t="shared" si="5"/>
      </c>
      <c r="L28" s="192"/>
      <c r="M28" s="322">
        <f t="shared" si="4"/>
      </c>
      <c r="N28" s="325">
        <f t="shared" si="6"/>
      </c>
      <c r="O28" s="322">
        <f t="shared" si="7"/>
      </c>
      <c r="P28" s="492"/>
      <c r="Q28" s="388"/>
      <c r="AH28" s="96" t="s">
        <v>210</v>
      </c>
      <c r="AI28" s="134" t="s">
        <v>37</v>
      </c>
      <c r="AJ28" s="97" t="s">
        <v>52</v>
      </c>
      <c r="AK28" s="98">
        <v>6</v>
      </c>
      <c r="AL28" s="97" t="s">
        <v>76</v>
      </c>
      <c r="AM28" s="98">
        <v>1.5</v>
      </c>
      <c r="AN28" s="675" t="s">
        <v>76</v>
      </c>
      <c r="AO28" s="99">
        <v>1.5</v>
      </c>
      <c r="AP28" s="84"/>
      <c r="AQ28" s="100" t="s">
        <v>52</v>
      </c>
      <c r="AR28" s="101">
        <v>3</v>
      </c>
    </row>
    <row r="29" spans="2:44" ht="12.75">
      <c r="B29" s="203"/>
      <c r="C29" s="490">
        <f t="shared" si="0"/>
      </c>
      <c r="D29" s="491"/>
      <c r="E29" s="633"/>
      <c r="F29" s="630">
        <f t="shared" si="1"/>
      </c>
      <c r="G29" s="316">
        <f t="shared" si="2"/>
      </c>
      <c r="H29" s="313"/>
      <c r="I29" s="319">
        <f t="shared" si="3"/>
      </c>
      <c r="J29" s="192"/>
      <c r="K29" s="322">
        <f t="shared" si="5"/>
      </c>
      <c r="L29" s="192"/>
      <c r="M29" s="322">
        <f t="shared" si="4"/>
      </c>
      <c r="N29" s="325">
        <f t="shared" si="6"/>
      </c>
      <c r="O29" s="322">
        <f t="shared" si="7"/>
      </c>
      <c r="P29" s="492"/>
      <c r="Q29" s="388"/>
      <c r="AH29" s="96" t="s">
        <v>161</v>
      </c>
      <c r="AI29" s="134" t="s">
        <v>50</v>
      </c>
      <c r="AJ29" s="97" t="s">
        <v>52</v>
      </c>
      <c r="AK29" s="98">
        <v>6</v>
      </c>
      <c r="AL29" s="97" t="s">
        <v>54</v>
      </c>
      <c r="AM29" s="98">
        <v>1</v>
      </c>
      <c r="AN29" s="97" t="s">
        <v>54</v>
      </c>
      <c r="AO29" s="98">
        <v>1</v>
      </c>
      <c r="AP29" s="84"/>
      <c r="AQ29" s="100" t="s">
        <v>76</v>
      </c>
      <c r="AR29" s="101">
        <v>1.5</v>
      </c>
    </row>
    <row r="30" spans="2:44" ht="12.75">
      <c r="B30" s="203"/>
      <c r="C30" s="490">
        <f t="shared" si="0"/>
      </c>
      <c r="D30" s="491"/>
      <c r="E30" s="633"/>
      <c r="F30" s="630">
        <f t="shared" si="1"/>
      </c>
      <c r="G30" s="316">
        <f t="shared" si="2"/>
      </c>
      <c r="H30" s="313"/>
      <c r="I30" s="319">
        <f t="shared" si="3"/>
      </c>
      <c r="J30" s="192"/>
      <c r="K30" s="322">
        <f t="shared" si="5"/>
      </c>
      <c r="L30" s="192"/>
      <c r="M30" s="322">
        <f t="shared" si="4"/>
      </c>
      <c r="N30" s="325">
        <f t="shared" si="6"/>
      </c>
      <c r="O30" s="322">
        <f>IF((D30&gt;0)*AND((E30-J30-L30)&gt;0),(N30*G30*I30),"")</f>
      </c>
      <c r="P30" s="492"/>
      <c r="Q30" s="388"/>
      <c r="AH30" s="96" t="s">
        <v>160</v>
      </c>
      <c r="AI30" s="134" t="s">
        <v>51</v>
      </c>
      <c r="AJ30" s="97" t="s">
        <v>54</v>
      </c>
      <c r="AK30" s="98">
        <v>2</v>
      </c>
      <c r="AL30" s="97" t="s">
        <v>54</v>
      </c>
      <c r="AM30" s="98">
        <v>1</v>
      </c>
      <c r="AN30" s="97" t="s">
        <v>54</v>
      </c>
      <c r="AO30" s="98">
        <v>1</v>
      </c>
      <c r="AP30" s="84"/>
      <c r="AQ30" s="100" t="s">
        <v>54</v>
      </c>
      <c r="AR30" s="101">
        <v>1</v>
      </c>
    </row>
    <row r="31" spans="2:44" ht="13.5" thickBot="1">
      <c r="B31" s="203"/>
      <c r="C31" s="490">
        <f t="shared" si="0"/>
      </c>
      <c r="D31" s="491"/>
      <c r="E31" s="633"/>
      <c r="F31" s="630">
        <f t="shared" si="1"/>
      </c>
      <c r="G31" s="316">
        <f t="shared" si="2"/>
      </c>
      <c r="H31" s="313"/>
      <c r="I31" s="319">
        <f t="shared" si="3"/>
      </c>
      <c r="J31" s="192"/>
      <c r="K31" s="322">
        <f t="shared" si="5"/>
      </c>
      <c r="L31" s="192"/>
      <c r="M31" s="322">
        <f t="shared" si="4"/>
      </c>
      <c r="N31" s="325">
        <f t="shared" si="6"/>
      </c>
      <c r="O31" s="322">
        <f t="shared" si="7"/>
      </c>
      <c r="P31" s="492"/>
      <c r="Q31" s="388"/>
      <c r="AH31" s="96" t="s">
        <v>168</v>
      </c>
      <c r="AI31" s="134" t="s">
        <v>43</v>
      </c>
      <c r="AJ31" s="97" t="s">
        <v>52</v>
      </c>
      <c r="AK31" s="98">
        <v>6</v>
      </c>
      <c r="AL31" s="97" t="s">
        <v>76</v>
      </c>
      <c r="AM31" s="98">
        <v>1.5</v>
      </c>
      <c r="AN31" s="675" t="s">
        <v>76</v>
      </c>
      <c r="AO31" s="99">
        <v>1.5</v>
      </c>
      <c r="AP31" s="84"/>
      <c r="AQ31" s="103" t="s">
        <v>112</v>
      </c>
      <c r="AR31" s="104">
        <v>0</v>
      </c>
    </row>
    <row r="32" spans="2:42" ht="12.75">
      <c r="B32" s="203"/>
      <c r="C32" s="490">
        <f t="shared" si="0"/>
      </c>
      <c r="D32" s="491"/>
      <c r="E32" s="633"/>
      <c r="F32" s="630">
        <f t="shared" si="1"/>
      </c>
      <c r="G32" s="316">
        <f t="shared" si="2"/>
      </c>
      <c r="H32" s="313"/>
      <c r="I32" s="319">
        <f t="shared" si="3"/>
      </c>
      <c r="J32" s="192"/>
      <c r="K32" s="322">
        <f t="shared" si="5"/>
      </c>
      <c r="L32" s="192"/>
      <c r="M32" s="322">
        <f t="shared" si="4"/>
      </c>
      <c r="N32" s="325">
        <f t="shared" si="6"/>
      </c>
      <c r="O32" s="322">
        <f t="shared" si="7"/>
      </c>
      <c r="P32" s="492"/>
      <c r="Q32" s="388"/>
      <c r="AH32" s="96" t="s">
        <v>169</v>
      </c>
      <c r="AI32" s="134" t="s">
        <v>44</v>
      </c>
      <c r="AJ32" s="97" t="s">
        <v>52</v>
      </c>
      <c r="AK32" s="98">
        <v>6</v>
      </c>
      <c r="AL32" s="97" t="s">
        <v>76</v>
      </c>
      <c r="AM32" s="98">
        <v>1.5</v>
      </c>
      <c r="AN32" s="675" t="s">
        <v>76</v>
      </c>
      <c r="AO32" s="99">
        <v>1.5</v>
      </c>
      <c r="AP32" s="84"/>
    </row>
    <row r="33" spans="2:42" ht="12.75">
      <c r="B33" s="203"/>
      <c r="C33" s="490">
        <f t="shared" si="0"/>
      </c>
      <c r="D33" s="491"/>
      <c r="E33" s="633"/>
      <c r="F33" s="630">
        <f t="shared" si="1"/>
      </c>
      <c r="G33" s="316">
        <f t="shared" si="2"/>
      </c>
      <c r="H33" s="313"/>
      <c r="I33" s="319">
        <f t="shared" si="3"/>
      </c>
      <c r="J33" s="192"/>
      <c r="K33" s="322">
        <f t="shared" si="5"/>
      </c>
      <c r="L33" s="192"/>
      <c r="M33" s="322">
        <f t="shared" si="4"/>
      </c>
      <c r="N33" s="325">
        <f t="shared" si="6"/>
      </c>
      <c r="O33" s="322">
        <f t="shared" si="7"/>
      </c>
      <c r="P33" s="492"/>
      <c r="Q33" s="388"/>
      <c r="AH33" s="96" t="s">
        <v>170</v>
      </c>
      <c r="AI33" s="134" t="s">
        <v>112</v>
      </c>
      <c r="AJ33" s="97" t="s">
        <v>52</v>
      </c>
      <c r="AK33" s="98">
        <v>6</v>
      </c>
      <c r="AL33" s="97" t="s">
        <v>124</v>
      </c>
      <c r="AM33" s="98">
        <v>1</v>
      </c>
      <c r="AN33" s="97" t="s">
        <v>124</v>
      </c>
      <c r="AO33" s="98">
        <v>1</v>
      </c>
      <c r="AP33" s="84"/>
    </row>
    <row r="34" spans="2:42" ht="12.75">
      <c r="B34" s="203"/>
      <c r="C34" s="490">
        <f t="shared" si="0"/>
      </c>
      <c r="D34" s="491"/>
      <c r="E34" s="633"/>
      <c r="F34" s="630">
        <f t="shared" si="1"/>
      </c>
      <c r="G34" s="316">
        <f t="shared" si="2"/>
      </c>
      <c r="H34" s="313"/>
      <c r="I34" s="319">
        <f t="shared" si="3"/>
      </c>
      <c r="J34" s="192"/>
      <c r="K34" s="322">
        <f t="shared" si="5"/>
      </c>
      <c r="L34" s="192"/>
      <c r="M34" s="322">
        <f t="shared" si="4"/>
      </c>
      <c r="N34" s="325">
        <f t="shared" si="6"/>
      </c>
      <c r="O34" s="322">
        <f t="shared" si="7"/>
      </c>
      <c r="P34" s="492"/>
      <c r="Q34" s="388"/>
      <c r="AH34" s="96" t="s">
        <v>163</v>
      </c>
      <c r="AI34" s="134" t="s">
        <v>38</v>
      </c>
      <c r="AJ34" s="97" t="s">
        <v>52</v>
      </c>
      <c r="AK34" s="98">
        <v>6</v>
      </c>
      <c r="AL34" s="97" t="s">
        <v>77</v>
      </c>
      <c r="AM34" s="98">
        <v>10</v>
      </c>
      <c r="AN34" s="675" t="s">
        <v>52</v>
      </c>
      <c r="AO34" s="99">
        <v>3</v>
      </c>
      <c r="AP34" s="84"/>
    </row>
    <row r="35" spans="2:42" ht="12.75">
      <c r="B35" s="203"/>
      <c r="C35" s="490">
        <f t="shared" si="0"/>
      </c>
      <c r="D35" s="491"/>
      <c r="E35" s="633"/>
      <c r="F35" s="630">
        <f t="shared" si="1"/>
      </c>
      <c r="G35" s="316">
        <f t="shared" si="2"/>
      </c>
      <c r="H35" s="313"/>
      <c r="I35" s="319">
        <f t="shared" si="3"/>
      </c>
      <c r="J35" s="192"/>
      <c r="K35" s="322">
        <f t="shared" si="5"/>
      </c>
      <c r="L35" s="192"/>
      <c r="M35" s="322">
        <f t="shared" si="4"/>
      </c>
      <c r="N35" s="325">
        <f t="shared" si="6"/>
      </c>
      <c r="O35" s="322">
        <f t="shared" si="7"/>
      </c>
      <c r="P35" s="492"/>
      <c r="Q35" s="388"/>
      <c r="AH35" s="96" t="s">
        <v>164</v>
      </c>
      <c r="AI35" s="134" t="s">
        <v>39</v>
      </c>
      <c r="AJ35" s="97" t="s">
        <v>52</v>
      </c>
      <c r="AK35" s="98">
        <v>6</v>
      </c>
      <c r="AL35" s="97" t="s">
        <v>52</v>
      </c>
      <c r="AM35" s="98">
        <v>3</v>
      </c>
      <c r="AN35" s="675" t="s">
        <v>76</v>
      </c>
      <c r="AO35" s="99">
        <v>1.5</v>
      </c>
      <c r="AP35" s="84"/>
    </row>
    <row r="36" spans="2:42" ht="12.75">
      <c r="B36" s="203"/>
      <c r="C36" s="490">
        <f t="shared" si="0"/>
      </c>
      <c r="D36" s="491"/>
      <c r="E36" s="633"/>
      <c r="F36" s="630">
        <f t="shared" si="1"/>
      </c>
      <c r="G36" s="316">
        <f t="shared" si="2"/>
      </c>
      <c r="H36" s="313"/>
      <c r="I36" s="319">
        <f t="shared" si="3"/>
      </c>
      <c r="J36" s="192"/>
      <c r="K36" s="322">
        <f t="shared" si="5"/>
      </c>
      <c r="L36" s="192"/>
      <c r="M36" s="322">
        <f t="shared" si="4"/>
      </c>
      <c r="N36" s="325">
        <f t="shared" si="6"/>
      </c>
      <c r="O36" s="322">
        <f t="shared" si="7"/>
      </c>
      <c r="P36" s="492"/>
      <c r="Q36" s="388"/>
      <c r="AH36" s="96" t="s">
        <v>165</v>
      </c>
      <c r="AI36" s="134" t="s">
        <v>40</v>
      </c>
      <c r="AJ36" s="97" t="s">
        <v>52</v>
      </c>
      <c r="AK36" s="98">
        <v>6</v>
      </c>
      <c r="AL36" s="97" t="s">
        <v>52</v>
      </c>
      <c r="AM36" s="98">
        <v>3</v>
      </c>
      <c r="AN36" s="675" t="s">
        <v>76</v>
      </c>
      <c r="AO36" s="99">
        <v>1.5</v>
      </c>
      <c r="AP36" s="84"/>
    </row>
    <row r="37" spans="2:42" ht="12.75">
      <c r="B37" s="203"/>
      <c r="C37" s="490">
        <f t="shared" si="0"/>
      </c>
      <c r="D37" s="491"/>
      <c r="E37" s="633"/>
      <c r="F37" s="630">
        <f t="shared" si="1"/>
      </c>
      <c r="G37" s="316">
        <f t="shared" si="2"/>
      </c>
      <c r="H37" s="313"/>
      <c r="I37" s="319">
        <f t="shared" si="3"/>
      </c>
      <c r="J37" s="192"/>
      <c r="K37" s="322">
        <f t="shared" si="5"/>
      </c>
      <c r="L37" s="192"/>
      <c r="M37" s="322">
        <f t="shared" si="4"/>
      </c>
      <c r="N37" s="325">
        <f t="shared" si="6"/>
      </c>
      <c r="O37" s="322">
        <f t="shared" si="7"/>
      </c>
      <c r="P37" s="492"/>
      <c r="Q37" s="388"/>
      <c r="AH37" s="96" t="s">
        <v>166</v>
      </c>
      <c r="AI37" s="134" t="s">
        <v>41</v>
      </c>
      <c r="AJ37" s="97" t="s">
        <v>52</v>
      </c>
      <c r="AK37" s="98">
        <v>6</v>
      </c>
      <c r="AL37" s="97" t="s">
        <v>52</v>
      </c>
      <c r="AM37" s="98">
        <v>3</v>
      </c>
      <c r="AN37" s="675" t="s">
        <v>76</v>
      </c>
      <c r="AO37" s="99">
        <v>1.5</v>
      </c>
      <c r="AP37" s="84"/>
    </row>
    <row r="38" spans="2:44" ht="12.75">
      <c r="B38" s="203"/>
      <c r="C38" s="490">
        <f t="shared" si="0"/>
      </c>
      <c r="D38" s="491"/>
      <c r="E38" s="633"/>
      <c r="F38" s="630">
        <f t="shared" si="1"/>
      </c>
      <c r="G38" s="316">
        <f t="shared" si="2"/>
      </c>
      <c r="H38" s="313"/>
      <c r="I38" s="319">
        <f t="shared" si="3"/>
      </c>
      <c r="J38" s="192"/>
      <c r="K38" s="322">
        <f t="shared" si="5"/>
      </c>
      <c r="L38" s="192"/>
      <c r="M38" s="322">
        <f t="shared" si="4"/>
      </c>
      <c r="N38" s="325">
        <f t="shared" si="6"/>
      </c>
      <c r="O38" s="322">
        <f t="shared" si="7"/>
      </c>
      <c r="P38" s="492"/>
      <c r="Q38" s="388"/>
      <c r="AH38" s="96" t="s">
        <v>167</v>
      </c>
      <c r="AI38" s="134" t="s">
        <v>42</v>
      </c>
      <c r="AJ38" s="97" t="s">
        <v>52</v>
      </c>
      <c r="AK38" s="98">
        <v>6</v>
      </c>
      <c r="AL38" s="97" t="s">
        <v>54</v>
      </c>
      <c r="AM38" s="98">
        <v>1</v>
      </c>
      <c r="AN38" s="675" t="s">
        <v>54</v>
      </c>
      <c r="AO38" s="99">
        <v>1</v>
      </c>
      <c r="AP38" s="84"/>
      <c r="AQ38" s="84"/>
      <c r="AR38" s="84"/>
    </row>
    <row r="39" spans="2:44" ht="12.75">
      <c r="B39" s="203"/>
      <c r="C39" s="490">
        <f t="shared" si="0"/>
      </c>
      <c r="D39" s="491"/>
      <c r="E39" s="633"/>
      <c r="F39" s="630">
        <f t="shared" si="1"/>
      </c>
      <c r="G39" s="316">
        <f t="shared" si="2"/>
      </c>
      <c r="H39" s="313"/>
      <c r="I39" s="319">
        <f t="shared" si="3"/>
      </c>
      <c r="J39" s="192"/>
      <c r="K39" s="322">
        <f t="shared" si="5"/>
      </c>
      <c r="L39" s="192"/>
      <c r="M39" s="322">
        <f t="shared" si="4"/>
      </c>
      <c r="N39" s="325">
        <f t="shared" si="6"/>
      </c>
      <c r="O39" s="322">
        <f t="shared" si="7"/>
      </c>
      <c r="P39" s="492"/>
      <c r="Q39" s="388"/>
      <c r="AH39" s="96" t="s">
        <v>136</v>
      </c>
      <c r="AI39" s="134" t="s">
        <v>48</v>
      </c>
      <c r="AJ39" s="97" t="s">
        <v>54</v>
      </c>
      <c r="AK39" s="98">
        <v>2</v>
      </c>
      <c r="AL39" s="97" t="s">
        <v>112</v>
      </c>
      <c r="AM39" s="98" t="s">
        <v>110</v>
      </c>
      <c r="AN39" s="97" t="s">
        <v>112</v>
      </c>
      <c r="AO39" s="98" t="s">
        <v>110</v>
      </c>
      <c r="AP39" s="84"/>
      <c r="AQ39" s="84"/>
      <c r="AR39" s="84"/>
    </row>
    <row r="40" spans="2:44" ht="12.75">
      <c r="B40" s="203"/>
      <c r="C40" s="490">
        <f t="shared" si="0"/>
      </c>
      <c r="D40" s="491"/>
      <c r="E40" s="633"/>
      <c r="F40" s="630">
        <f t="shared" si="1"/>
      </c>
      <c r="G40" s="316">
        <f t="shared" si="2"/>
      </c>
      <c r="H40" s="313"/>
      <c r="I40" s="319">
        <f t="shared" si="3"/>
      </c>
      <c r="J40" s="192"/>
      <c r="K40" s="322">
        <f t="shared" si="5"/>
      </c>
      <c r="L40" s="192"/>
      <c r="M40" s="322">
        <f t="shared" si="4"/>
      </c>
      <c r="N40" s="325">
        <f t="shared" si="6"/>
      </c>
      <c r="O40" s="322">
        <f t="shared" si="7"/>
      </c>
      <c r="P40" s="492"/>
      <c r="Q40" s="388"/>
      <c r="AH40" s="96" t="s">
        <v>188</v>
      </c>
      <c r="AI40" s="134" t="s">
        <v>34</v>
      </c>
      <c r="AJ40" s="97" t="s">
        <v>54</v>
      </c>
      <c r="AK40" s="98">
        <v>2</v>
      </c>
      <c r="AL40" s="97" t="s">
        <v>54</v>
      </c>
      <c r="AM40" s="98">
        <v>1</v>
      </c>
      <c r="AN40" s="675" t="s">
        <v>54</v>
      </c>
      <c r="AO40" s="99">
        <v>1</v>
      </c>
      <c r="AP40" s="84"/>
      <c r="AQ40" s="84"/>
      <c r="AR40" s="84"/>
    </row>
    <row r="41" spans="2:44" ht="12.75">
      <c r="B41" s="203"/>
      <c r="C41" s="490">
        <f t="shared" si="0"/>
      </c>
      <c r="D41" s="491"/>
      <c r="E41" s="633"/>
      <c r="F41" s="630">
        <f t="shared" si="1"/>
      </c>
      <c r="G41" s="316">
        <f t="shared" si="2"/>
      </c>
      <c r="H41" s="313"/>
      <c r="I41" s="319">
        <f t="shared" si="3"/>
      </c>
      <c r="J41" s="192"/>
      <c r="K41" s="322">
        <f t="shared" si="5"/>
      </c>
      <c r="L41" s="192"/>
      <c r="M41" s="322">
        <f t="shared" si="4"/>
      </c>
      <c r="N41" s="325">
        <f t="shared" si="6"/>
      </c>
      <c r="O41" s="322">
        <f t="shared" si="7"/>
      </c>
      <c r="P41" s="492"/>
      <c r="Q41" s="388"/>
      <c r="AH41" s="96" t="s">
        <v>189</v>
      </c>
      <c r="AI41" s="134" t="s">
        <v>35</v>
      </c>
      <c r="AJ41" s="97" t="s">
        <v>306</v>
      </c>
      <c r="AK41" s="98">
        <v>3</v>
      </c>
      <c r="AL41" s="97" t="s">
        <v>54</v>
      </c>
      <c r="AM41" s="98">
        <v>1</v>
      </c>
      <c r="AN41" s="675" t="s">
        <v>54</v>
      </c>
      <c r="AO41" s="99">
        <v>1</v>
      </c>
      <c r="AP41" s="84"/>
      <c r="AQ41" s="84"/>
      <c r="AR41" s="84"/>
    </row>
    <row r="42" spans="2:44" ht="12.75">
      <c r="B42" s="203"/>
      <c r="C42" s="490">
        <f t="shared" si="0"/>
      </c>
      <c r="D42" s="491"/>
      <c r="E42" s="633"/>
      <c r="F42" s="630">
        <f t="shared" si="1"/>
      </c>
      <c r="G42" s="316">
        <f t="shared" si="2"/>
      </c>
      <c r="H42" s="313"/>
      <c r="I42" s="319">
        <f t="shared" si="3"/>
      </c>
      <c r="J42" s="192"/>
      <c r="K42" s="322">
        <f t="shared" si="5"/>
      </c>
      <c r="L42" s="192"/>
      <c r="M42" s="322">
        <f t="shared" si="4"/>
      </c>
      <c r="N42" s="325">
        <f t="shared" si="6"/>
      </c>
      <c r="O42" s="322">
        <f t="shared" si="7"/>
      </c>
      <c r="P42" s="492"/>
      <c r="Q42" s="388"/>
      <c r="AH42" s="96" t="s">
        <v>190</v>
      </c>
      <c r="AI42" s="134" t="s">
        <v>36</v>
      </c>
      <c r="AJ42" s="97" t="s">
        <v>76</v>
      </c>
      <c r="AK42" s="98">
        <v>4</v>
      </c>
      <c r="AL42" s="97" t="s">
        <v>54</v>
      </c>
      <c r="AM42" s="98">
        <v>1</v>
      </c>
      <c r="AN42" s="675" t="s">
        <v>54</v>
      </c>
      <c r="AO42" s="99">
        <v>1</v>
      </c>
      <c r="AP42" s="84"/>
      <c r="AQ42" s="84"/>
      <c r="AR42" s="84"/>
    </row>
    <row r="43" spans="2:44" ht="12.75">
      <c r="B43" s="203"/>
      <c r="C43" s="490">
        <f t="shared" si="0"/>
      </c>
      <c r="D43" s="491"/>
      <c r="E43" s="633"/>
      <c r="F43" s="630">
        <f t="shared" si="1"/>
      </c>
      <c r="G43" s="316">
        <f t="shared" si="2"/>
      </c>
      <c r="H43" s="313"/>
      <c r="I43" s="319">
        <f t="shared" si="3"/>
      </c>
      <c r="J43" s="192"/>
      <c r="K43" s="322">
        <f t="shared" si="5"/>
      </c>
      <c r="L43" s="192"/>
      <c r="M43" s="322">
        <f t="shared" si="4"/>
      </c>
      <c r="N43" s="325">
        <f t="shared" si="6"/>
      </c>
      <c r="O43" s="322">
        <f t="shared" si="7"/>
      </c>
      <c r="P43" s="492"/>
      <c r="Q43" s="388"/>
      <c r="AH43" s="96" t="s">
        <v>138</v>
      </c>
      <c r="AI43" s="134" t="s">
        <v>55</v>
      </c>
      <c r="AJ43" s="97" t="s">
        <v>54</v>
      </c>
      <c r="AK43" s="98">
        <v>2</v>
      </c>
      <c r="AL43" s="97" t="s">
        <v>54</v>
      </c>
      <c r="AM43" s="98">
        <v>1</v>
      </c>
      <c r="AN43" s="97" t="s">
        <v>54</v>
      </c>
      <c r="AO43" s="98">
        <v>1</v>
      </c>
      <c r="AP43" s="84"/>
      <c r="AQ43" s="84"/>
      <c r="AR43" s="84"/>
    </row>
    <row r="44" spans="2:44" ht="13.5" thickBot="1">
      <c r="B44" s="493"/>
      <c r="C44" s="494">
        <f t="shared" si="0"/>
      </c>
      <c r="D44" s="495"/>
      <c r="E44" s="634"/>
      <c r="F44" s="631">
        <f t="shared" si="1"/>
      </c>
      <c r="G44" s="317">
        <f t="shared" si="2"/>
      </c>
      <c r="H44" s="314"/>
      <c r="I44" s="320">
        <f t="shared" si="3"/>
      </c>
      <c r="J44" s="194"/>
      <c r="K44" s="323">
        <f t="shared" si="5"/>
      </c>
      <c r="L44" s="194"/>
      <c r="M44" s="323">
        <f t="shared" si="4"/>
      </c>
      <c r="N44" s="326">
        <f t="shared" si="6"/>
      </c>
      <c r="O44" s="323">
        <f t="shared" si="7"/>
      </c>
      <c r="P44" s="496"/>
      <c r="Q44" s="390"/>
      <c r="AH44" s="96" t="s">
        <v>137</v>
      </c>
      <c r="AI44" s="134" t="s">
        <v>49</v>
      </c>
      <c r="AJ44" s="97" t="s">
        <v>54</v>
      </c>
      <c r="AK44" s="98">
        <v>2</v>
      </c>
      <c r="AL44" s="97" t="s">
        <v>54</v>
      </c>
      <c r="AM44" s="98">
        <v>1</v>
      </c>
      <c r="AN44" s="675" t="s">
        <v>54</v>
      </c>
      <c r="AO44" s="99">
        <v>1</v>
      </c>
      <c r="AP44" s="84"/>
      <c r="AQ44" s="84"/>
      <c r="AR44" s="84"/>
    </row>
    <row r="45" spans="2:65" s="77" customFormat="1" ht="13.5" thickBot="1">
      <c r="B45" s="497"/>
      <c r="C45" s="498"/>
      <c r="D45" s="499" t="s">
        <v>111</v>
      </c>
      <c r="E45" s="500">
        <f>SUM(E15:E44)</f>
        <v>3.03</v>
      </c>
      <c r="F45" s="501"/>
      <c r="G45" s="501"/>
      <c r="H45" s="502"/>
      <c r="I45" s="499" t="s">
        <v>111</v>
      </c>
      <c r="J45" s="503">
        <f aca="true" t="shared" si="8" ref="J45:O45">SUM(J15:J44)</f>
        <v>2.01</v>
      </c>
      <c r="K45" s="504">
        <f t="shared" si="8"/>
        <v>15.700000000000003</v>
      </c>
      <c r="L45" s="505">
        <f t="shared" si="8"/>
        <v>0.77</v>
      </c>
      <c r="M45" s="506">
        <f t="shared" si="8"/>
        <v>6.16</v>
      </c>
      <c r="N45" s="507">
        <f t="shared" si="8"/>
        <v>0.25</v>
      </c>
      <c r="O45" s="500">
        <f t="shared" si="8"/>
        <v>1.82</v>
      </c>
      <c r="P45" s="508" t="s">
        <v>93</v>
      </c>
      <c r="Q45" s="376"/>
      <c r="AG45" s="80"/>
      <c r="AH45" s="96" t="s">
        <v>330</v>
      </c>
      <c r="AI45" s="134" t="s">
        <v>45</v>
      </c>
      <c r="AJ45" s="97" t="s">
        <v>54</v>
      </c>
      <c r="AK45" s="98">
        <v>2</v>
      </c>
      <c r="AL45" s="97" t="s">
        <v>54</v>
      </c>
      <c r="AM45" s="98">
        <v>1</v>
      </c>
      <c r="AN45" s="675" t="s">
        <v>54</v>
      </c>
      <c r="AO45" s="99">
        <v>1</v>
      </c>
      <c r="AP45" s="84"/>
      <c r="AQ45" s="84"/>
      <c r="AR45" s="84"/>
      <c r="AS45" s="80"/>
      <c r="AT45" s="80"/>
      <c r="AU45" s="80"/>
      <c r="AV45" s="80"/>
      <c r="AW45" s="80"/>
      <c r="AX45" s="80"/>
      <c r="AY45" s="80"/>
      <c r="AZ45" s="80"/>
      <c r="BA45" s="80"/>
      <c r="BB45" s="80"/>
      <c r="BC45" s="80"/>
      <c r="BD45" s="80"/>
      <c r="BE45" s="80"/>
      <c r="BF45" s="80"/>
      <c r="BG45" s="80"/>
      <c r="BH45" s="80"/>
      <c r="BI45" s="80"/>
      <c r="BJ45" s="80"/>
      <c r="BK45" s="80"/>
      <c r="BL45" s="80"/>
      <c r="BM45" s="80"/>
    </row>
    <row r="46" spans="2:65" s="77" customFormat="1" ht="13.5" thickBot="1">
      <c r="B46" s="485"/>
      <c r="C46" s="498"/>
      <c r="D46" s="509"/>
      <c r="E46" s="510"/>
      <c r="F46" s="511"/>
      <c r="G46" s="512"/>
      <c r="H46" s="511"/>
      <c r="I46" s="512"/>
      <c r="J46" s="511"/>
      <c r="K46" s="512"/>
      <c r="L46" s="513"/>
      <c r="M46" s="514"/>
      <c r="N46" s="514"/>
      <c r="O46" s="515" t="s">
        <v>194</v>
      </c>
      <c r="P46" s="508"/>
      <c r="Q46" s="376"/>
      <c r="AG46" s="80"/>
      <c r="AH46" s="96" t="s">
        <v>134</v>
      </c>
      <c r="AI46" s="134" t="s">
        <v>46</v>
      </c>
      <c r="AJ46" s="97" t="s">
        <v>54</v>
      </c>
      <c r="AK46" s="98">
        <v>2</v>
      </c>
      <c r="AL46" s="97" t="s">
        <v>54</v>
      </c>
      <c r="AM46" s="98">
        <v>1</v>
      </c>
      <c r="AN46" s="97" t="s">
        <v>54</v>
      </c>
      <c r="AO46" s="98">
        <v>1</v>
      </c>
      <c r="AP46" s="84"/>
      <c r="AQ46" s="84"/>
      <c r="AR46" s="84"/>
      <c r="AS46" s="80"/>
      <c r="AT46" s="80"/>
      <c r="AU46" s="80"/>
      <c r="AV46" s="80"/>
      <c r="AW46" s="80"/>
      <c r="AX46" s="80"/>
      <c r="AY46" s="80"/>
      <c r="AZ46" s="80"/>
      <c r="BA46" s="80"/>
      <c r="BB46" s="80"/>
      <c r="BC46" s="80"/>
      <c r="BD46" s="80"/>
      <c r="BE46" s="80"/>
      <c r="BF46" s="80"/>
      <c r="BG46" s="80"/>
      <c r="BH46" s="80"/>
      <c r="BI46" s="80"/>
      <c r="BJ46" s="80"/>
      <c r="BK46" s="80"/>
      <c r="BL46" s="80"/>
      <c r="BM46" s="80"/>
    </row>
    <row r="47" spans="2:65" s="77" customFormat="1" ht="13.5" thickBot="1">
      <c r="B47" s="485"/>
      <c r="C47" s="498"/>
      <c r="D47" s="516"/>
      <c r="E47" s="517"/>
      <c r="F47" s="518"/>
      <c r="G47" s="517"/>
      <c r="H47" s="518"/>
      <c r="I47" s="517"/>
      <c r="J47" s="518"/>
      <c r="K47" s="517"/>
      <c r="L47" s="513"/>
      <c r="M47" s="784" t="s">
        <v>245</v>
      </c>
      <c r="N47" s="785"/>
      <c r="O47" s="519">
        <f>K45+M45+O45</f>
        <v>23.680000000000003</v>
      </c>
      <c r="P47" s="508"/>
      <c r="Q47" s="376"/>
      <c r="AG47" s="80"/>
      <c r="AH47" s="96" t="s">
        <v>135</v>
      </c>
      <c r="AI47" s="134" t="s">
        <v>47</v>
      </c>
      <c r="AJ47" s="97" t="s">
        <v>54</v>
      </c>
      <c r="AK47" s="98">
        <v>2</v>
      </c>
      <c r="AL47" s="97" t="s">
        <v>54</v>
      </c>
      <c r="AM47" s="98">
        <v>1</v>
      </c>
      <c r="AN47" s="675" t="s">
        <v>54</v>
      </c>
      <c r="AO47" s="99">
        <v>1</v>
      </c>
      <c r="AP47" s="84"/>
      <c r="AQ47" s="84"/>
      <c r="AR47" s="84"/>
      <c r="AS47" s="80"/>
      <c r="AT47" s="80"/>
      <c r="AU47" s="80"/>
      <c r="AV47" s="80"/>
      <c r="AW47" s="80"/>
      <c r="AX47" s="80"/>
      <c r="AY47" s="80"/>
      <c r="AZ47" s="80"/>
      <c r="BA47" s="80"/>
      <c r="BB47" s="80"/>
      <c r="BC47" s="80"/>
      <c r="BD47" s="80"/>
      <c r="BE47" s="80"/>
      <c r="BF47" s="80"/>
      <c r="BG47" s="80"/>
      <c r="BH47" s="80"/>
      <c r="BI47" s="80"/>
      <c r="BJ47" s="80"/>
      <c r="BK47" s="80"/>
      <c r="BL47" s="80"/>
      <c r="BM47" s="80"/>
    </row>
    <row r="48" spans="1:44" s="80" customFormat="1" ht="12.75">
      <c r="A48" s="77"/>
      <c r="B48" s="119"/>
      <c r="C48" s="122"/>
      <c r="D48" s="247" t="s">
        <v>338</v>
      </c>
      <c r="E48" s="248"/>
      <c r="F48" s="249"/>
      <c r="G48" s="250"/>
      <c r="H48" s="251"/>
      <c r="I48" s="252"/>
      <c r="J48" s="253" t="s">
        <v>100</v>
      </c>
      <c r="K48" s="254"/>
      <c r="L48" s="123"/>
      <c r="M48" s="124"/>
      <c r="N48" s="124"/>
      <c r="O48" s="125"/>
      <c r="P48" s="520"/>
      <c r="Q48" s="126"/>
      <c r="R48" s="77"/>
      <c r="S48" s="77"/>
      <c r="T48" s="77"/>
      <c r="U48" s="77"/>
      <c r="V48" s="77"/>
      <c r="W48" s="77"/>
      <c r="X48" s="77"/>
      <c r="Y48" s="77"/>
      <c r="Z48" s="77"/>
      <c r="AA48" s="77"/>
      <c r="AB48" s="77"/>
      <c r="AC48" s="77"/>
      <c r="AD48" s="77"/>
      <c r="AE48" s="77"/>
      <c r="AF48" s="77"/>
      <c r="AH48" s="96" t="s">
        <v>139</v>
      </c>
      <c r="AI48" s="134" t="s">
        <v>56</v>
      </c>
      <c r="AJ48" s="97" t="s">
        <v>54</v>
      </c>
      <c r="AK48" s="98">
        <v>2</v>
      </c>
      <c r="AL48" s="97" t="s">
        <v>54</v>
      </c>
      <c r="AM48" s="98">
        <v>1</v>
      </c>
      <c r="AN48" s="97" t="s">
        <v>54</v>
      </c>
      <c r="AO48" s="98">
        <v>1</v>
      </c>
      <c r="AP48" s="84"/>
      <c r="AQ48" s="84"/>
      <c r="AR48" s="84"/>
    </row>
    <row r="49" spans="2:44" ht="26.25" thickBot="1">
      <c r="B49" s="744" t="s">
        <v>116</v>
      </c>
      <c r="C49" s="745"/>
      <c r="D49" s="270"/>
      <c r="E49" s="256" t="s">
        <v>6</v>
      </c>
      <c r="F49" s="257"/>
      <c r="G49" s="258"/>
      <c r="H49" s="257"/>
      <c r="I49" s="259"/>
      <c r="J49" s="259" t="s">
        <v>142</v>
      </c>
      <c r="K49" s="260" t="s">
        <v>143</v>
      </c>
      <c r="L49" s="127"/>
      <c r="M49" s="121"/>
      <c r="N49" s="121"/>
      <c r="O49" s="128"/>
      <c r="P49" s="520"/>
      <c r="Q49" s="126"/>
      <c r="AH49" s="96" t="s">
        <v>140</v>
      </c>
      <c r="AI49" s="134" t="s">
        <v>57</v>
      </c>
      <c r="AJ49" s="97" t="s">
        <v>54</v>
      </c>
      <c r="AK49" s="98">
        <v>2</v>
      </c>
      <c r="AL49" s="97" t="s">
        <v>54</v>
      </c>
      <c r="AM49" s="98">
        <v>1</v>
      </c>
      <c r="AN49" s="97" t="s">
        <v>54</v>
      </c>
      <c r="AO49" s="98">
        <v>1</v>
      </c>
      <c r="AP49" s="84"/>
      <c r="AQ49" s="84"/>
      <c r="AR49" s="84"/>
    </row>
    <row r="50" spans="2:44" ht="12.75" customHeight="1" thickBot="1">
      <c r="B50" s="733"/>
      <c r="C50" s="523" t="s">
        <v>117</v>
      </c>
      <c r="D50" s="195"/>
      <c r="E50" s="196"/>
      <c r="F50" s="188">
        <f>IF($D50&gt;0,(VLOOKUP($D50,$AH$52:$AO$68,3,FALSE)),"")</f>
      </c>
      <c r="G50" s="331">
        <f>IF($D50&gt;0,(VLOOKUP($F50,$AQ$5:$AR$10,2,FALSE)),"")</f>
      </c>
      <c r="H50" s="189"/>
      <c r="I50" s="333">
        <f aca="true" t="shared" si="9" ref="I50:I59">IF($H50&gt;0,(VLOOKUP($H50,$AQ$13:$AR$15,2,FALSE)),"")</f>
      </c>
      <c r="J50" s="334">
        <f>IF(D50&gt;0,(E50*G50*I50),"")</f>
      </c>
      <c r="K50" s="335">
        <f>IF(D50&gt;0,(J50-J51),"")</f>
      </c>
      <c r="L50" s="514"/>
      <c r="M50" s="514"/>
      <c r="N50" s="514"/>
      <c r="O50" s="522"/>
      <c r="P50" s="524"/>
      <c r="Q50" s="184"/>
      <c r="AH50" s="672" t="s">
        <v>327</v>
      </c>
      <c r="AI50" s="673" t="s">
        <v>112</v>
      </c>
      <c r="AJ50" s="677" t="s">
        <v>54</v>
      </c>
      <c r="AK50" s="151">
        <v>2</v>
      </c>
      <c r="AL50" s="677" t="s">
        <v>54</v>
      </c>
      <c r="AM50" s="151">
        <v>1</v>
      </c>
      <c r="AN50" s="677" t="s">
        <v>54</v>
      </c>
      <c r="AO50" s="151">
        <v>1</v>
      </c>
      <c r="AP50" s="84"/>
      <c r="AQ50" s="84"/>
      <c r="AR50" s="84"/>
    </row>
    <row r="51" spans="2:44" ht="13.5" thickBot="1">
      <c r="B51" s="726"/>
      <c r="C51" s="525" t="s">
        <v>118</v>
      </c>
      <c r="D51" s="129"/>
      <c r="E51" s="130"/>
      <c r="F51" s="131"/>
      <c r="G51" s="332"/>
      <c r="H51" s="197"/>
      <c r="I51" s="336">
        <f t="shared" si="9"/>
      </c>
      <c r="J51" s="337">
        <f>IF(D50&gt;0,(E50*G50*I51),"")</f>
      </c>
      <c r="K51" s="267"/>
      <c r="L51" s="514"/>
      <c r="M51" s="514"/>
      <c r="N51" s="514"/>
      <c r="O51" s="522"/>
      <c r="P51" s="526"/>
      <c r="Q51" s="381"/>
      <c r="AH51" s="662" t="s">
        <v>125</v>
      </c>
      <c r="AI51" s="663"/>
      <c r="AJ51" s="664"/>
      <c r="AK51" s="665"/>
      <c r="AL51" s="666"/>
      <c r="AM51" s="667"/>
      <c r="AN51" s="668"/>
      <c r="AO51" s="669"/>
      <c r="AP51" s="84"/>
      <c r="AQ51" s="84"/>
      <c r="AR51" s="84"/>
    </row>
    <row r="52" spans="2:44" ht="12.75" customHeight="1">
      <c r="B52" s="724"/>
      <c r="C52" s="523" t="s">
        <v>117</v>
      </c>
      <c r="D52" s="195"/>
      <c r="E52" s="196"/>
      <c r="F52" s="188">
        <f>IF($D52&gt;0,(VLOOKUP($D52,$AH$52:$AO$68,3,FALSE)),"")</f>
      </c>
      <c r="G52" s="331">
        <f>IF($D52&gt;0,(VLOOKUP($F52,$AQ$5:$AR$10,2,FALSE)),"")</f>
      </c>
      <c r="H52" s="189"/>
      <c r="I52" s="333">
        <f t="shared" si="9"/>
      </c>
      <c r="J52" s="334">
        <f>IF(D52&gt;0,(E52*G52*I52),"")</f>
      </c>
      <c r="K52" s="335">
        <f>IF(D52&gt;0,(J52-J53),"")</f>
      </c>
      <c r="L52" s="514"/>
      <c r="M52" s="514"/>
      <c r="N52" s="514"/>
      <c r="O52" s="522"/>
      <c r="P52" s="526"/>
      <c r="Q52" s="381"/>
      <c r="AH52" s="87" t="s">
        <v>185</v>
      </c>
      <c r="AI52" s="671" t="s">
        <v>62</v>
      </c>
      <c r="AJ52" s="88" t="s">
        <v>76</v>
      </c>
      <c r="AK52" s="89">
        <v>4</v>
      </c>
      <c r="AL52" s="88" t="s">
        <v>54</v>
      </c>
      <c r="AM52" s="89">
        <v>1</v>
      </c>
      <c r="AN52" s="674" t="s">
        <v>54</v>
      </c>
      <c r="AO52" s="90">
        <v>1</v>
      </c>
      <c r="AP52" s="84"/>
      <c r="AQ52" s="84"/>
      <c r="AR52" s="84"/>
    </row>
    <row r="53" spans="2:44" ht="13.5" thickBot="1">
      <c r="B53" s="726"/>
      <c r="C53" s="525" t="s">
        <v>118</v>
      </c>
      <c r="D53" s="129"/>
      <c r="E53" s="130"/>
      <c r="F53" s="131"/>
      <c r="G53" s="332"/>
      <c r="H53" s="197"/>
      <c r="I53" s="336">
        <f t="shared" si="9"/>
      </c>
      <c r="J53" s="337">
        <f>IF(D52&gt;0,(E52*G52*I53),"")</f>
      </c>
      <c r="K53" s="267"/>
      <c r="L53" s="514"/>
      <c r="M53" s="514"/>
      <c r="N53" s="514"/>
      <c r="O53" s="522"/>
      <c r="P53" s="526"/>
      <c r="Q53" s="381"/>
      <c r="AH53" s="96" t="s">
        <v>184</v>
      </c>
      <c r="AI53" s="134" t="s">
        <v>63</v>
      </c>
      <c r="AJ53" s="97" t="s">
        <v>52</v>
      </c>
      <c r="AK53" s="98">
        <v>6</v>
      </c>
      <c r="AL53" s="97" t="s">
        <v>54</v>
      </c>
      <c r="AM53" s="98">
        <v>1</v>
      </c>
      <c r="AN53" s="675" t="s">
        <v>54</v>
      </c>
      <c r="AO53" s="99">
        <v>1</v>
      </c>
      <c r="AP53" s="84"/>
      <c r="AQ53" s="84"/>
      <c r="AR53" s="84"/>
    </row>
    <row r="54" spans="2:44" ht="12.75" customHeight="1">
      <c r="B54" s="724"/>
      <c r="C54" s="523" t="s">
        <v>117</v>
      </c>
      <c r="D54" s="195"/>
      <c r="E54" s="196"/>
      <c r="F54" s="188">
        <f>IF($D54&gt;0,(VLOOKUP($D54,$AH$52:$AO$68,3,FALSE)),"")</f>
      </c>
      <c r="G54" s="331">
        <f>IF($D54&gt;0,(VLOOKUP($F54,$AQ$5:$AR$10,2,FALSE)),"")</f>
      </c>
      <c r="H54" s="189"/>
      <c r="I54" s="333">
        <f t="shared" si="9"/>
      </c>
      <c r="J54" s="334">
        <f>IF(D54&gt;0,(E54*G54*I54),"")</f>
      </c>
      <c r="K54" s="335">
        <f>IF(D54&gt;0,(J54-J55),"")</f>
      </c>
      <c r="L54" s="514"/>
      <c r="M54" s="514"/>
      <c r="N54" s="514"/>
      <c r="O54" s="522"/>
      <c r="P54" s="526"/>
      <c r="Q54" s="381"/>
      <c r="AH54" s="96" t="s">
        <v>182</v>
      </c>
      <c r="AI54" s="134" t="s">
        <v>65</v>
      </c>
      <c r="AJ54" s="97" t="s">
        <v>307</v>
      </c>
      <c r="AK54" s="98">
        <v>5</v>
      </c>
      <c r="AL54" s="97" t="s">
        <v>54</v>
      </c>
      <c r="AM54" s="98">
        <v>1</v>
      </c>
      <c r="AN54" s="675" t="s">
        <v>54</v>
      </c>
      <c r="AO54" s="99">
        <v>1</v>
      </c>
      <c r="AP54" s="84"/>
      <c r="AQ54" s="84"/>
      <c r="AR54" s="84"/>
    </row>
    <row r="55" spans="2:44" ht="13.5" thickBot="1">
      <c r="B55" s="726"/>
      <c r="C55" s="525" t="s">
        <v>118</v>
      </c>
      <c r="D55" s="129"/>
      <c r="E55" s="130"/>
      <c r="F55" s="131"/>
      <c r="G55" s="332"/>
      <c r="H55" s="197"/>
      <c r="I55" s="336">
        <f t="shared" si="9"/>
      </c>
      <c r="J55" s="337">
        <f>IF(D54&gt;0,(E54*G54*I55),"")</f>
      </c>
      <c r="K55" s="267"/>
      <c r="L55" s="514"/>
      <c r="M55" s="514"/>
      <c r="N55" s="514"/>
      <c r="O55" s="522"/>
      <c r="P55" s="526"/>
      <c r="Q55" s="381"/>
      <c r="AH55" s="96" t="s">
        <v>181</v>
      </c>
      <c r="AI55" s="134" t="s">
        <v>58</v>
      </c>
      <c r="AJ55" s="97" t="s">
        <v>52</v>
      </c>
      <c r="AK55" s="98">
        <v>6</v>
      </c>
      <c r="AL55" s="97" t="s">
        <v>54</v>
      </c>
      <c r="AM55" s="98">
        <v>1</v>
      </c>
      <c r="AN55" s="675" t="s">
        <v>54</v>
      </c>
      <c r="AO55" s="99">
        <v>1</v>
      </c>
      <c r="AP55" s="84"/>
      <c r="AQ55" s="84"/>
      <c r="AR55" s="84"/>
    </row>
    <row r="56" spans="2:44" ht="12.75" customHeight="1">
      <c r="B56" s="724"/>
      <c r="C56" s="523" t="s">
        <v>117</v>
      </c>
      <c r="D56" s="195"/>
      <c r="E56" s="196"/>
      <c r="F56" s="188">
        <f>IF($D56&gt;0,(VLOOKUP($D56,$AH$52:$AO$68,3,FALSE)),"")</f>
      </c>
      <c r="G56" s="331">
        <f>IF($D56&gt;0,(VLOOKUP($F56,$AQ$5:$AR$10,2,FALSE)),"")</f>
      </c>
      <c r="H56" s="189"/>
      <c r="I56" s="333">
        <f t="shared" si="9"/>
      </c>
      <c r="J56" s="334">
        <f>IF(D56&gt;0,(E56*G56*I56),"")</f>
      </c>
      <c r="K56" s="335">
        <f>IF(D56&gt;0,(J56-J57),"")</f>
      </c>
      <c r="L56" s="514"/>
      <c r="M56" s="514"/>
      <c r="N56" s="514"/>
      <c r="O56" s="522"/>
      <c r="P56" s="526"/>
      <c r="Q56" s="381"/>
      <c r="AH56" s="96" t="s">
        <v>183</v>
      </c>
      <c r="AI56" s="134" t="s">
        <v>64</v>
      </c>
      <c r="AJ56" s="97" t="s">
        <v>54</v>
      </c>
      <c r="AK56" s="98">
        <v>2</v>
      </c>
      <c r="AL56" s="97" t="s">
        <v>112</v>
      </c>
      <c r="AM56" s="98" t="s">
        <v>110</v>
      </c>
      <c r="AN56" s="97" t="s">
        <v>112</v>
      </c>
      <c r="AO56" s="98" t="s">
        <v>110</v>
      </c>
      <c r="AP56" s="84"/>
      <c r="AQ56" s="84"/>
      <c r="AR56" s="84"/>
    </row>
    <row r="57" spans="2:44" ht="13.5" thickBot="1">
      <c r="B57" s="726"/>
      <c r="C57" s="525" t="s">
        <v>118</v>
      </c>
      <c r="D57" s="129"/>
      <c r="E57" s="130"/>
      <c r="F57" s="131"/>
      <c r="G57" s="332"/>
      <c r="H57" s="197"/>
      <c r="I57" s="336">
        <f t="shared" si="9"/>
      </c>
      <c r="J57" s="337">
        <f>IF(D56&gt;0,(E56*G56*I57),"")</f>
      </c>
      <c r="K57" s="267"/>
      <c r="L57" s="514"/>
      <c r="M57" s="514"/>
      <c r="N57" s="514"/>
      <c r="O57" s="522"/>
      <c r="P57" s="526"/>
      <c r="Q57" s="381"/>
      <c r="AH57" s="96" t="s">
        <v>187</v>
      </c>
      <c r="AI57" s="134" t="s">
        <v>19</v>
      </c>
      <c r="AJ57" s="97" t="s">
        <v>76</v>
      </c>
      <c r="AK57" s="98">
        <v>4</v>
      </c>
      <c r="AL57" s="97" t="s">
        <v>54</v>
      </c>
      <c r="AM57" s="98">
        <v>1</v>
      </c>
      <c r="AN57" s="675" t="s">
        <v>54</v>
      </c>
      <c r="AO57" s="99">
        <v>1</v>
      </c>
      <c r="AP57" s="84"/>
      <c r="AQ57" s="84"/>
      <c r="AR57" s="84"/>
    </row>
    <row r="58" spans="2:44" ht="12.75" customHeight="1">
      <c r="B58" s="724"/>
      <c r="C58" s="523" t="s">
        <v>117</v>
      </c>
      <c r="D58" s="195"/>
      <c r="E58" s="196"/>
      <c r="F58" s="188">
        <f>IF($D58&gt;0,(VLOOKUP($D58,$AH$52:$AO$68,3,FALSE)),"")</f>
      </c>
      <c r="G58" s="331">
        <f>IF($D58&gt;0,(VLOOKUP($F58,$AQ$5:$AR$10,2,FALSE)),"")</f>
      </c>
      <c r="H58" s="189"/>
      <c r="I58" s="333">
        <f t="shared" si="9"/>
      </c>
      <c r="J58" s="334">
        <f>IF(D58&gt;0,(E58*G58*I58),"")</f>
      </c>
      <c r="K58" s="335">
        <f>IF(D58&gt;0,(J58-J59),"")</f>
      </c>
      <c r="L58" s="514"/>
      <c r="M58" s="170"/>
      <c r="N58" s="170"/>
      <c r="O58" s="486"/>
      <c r="P58" s="526"/>
      <c r="Q58" s="381"/>
      <c r="AH58" s="96" t="s">
        <v>186</v>
      </c>
      <c r="AI58" s="134" t="s">
        <v>59</v>
      </c>
      <c r="AJ58" s="97" t="s">
        <v>76</v>
      </c>
      <c r="AK58" s="98">
        <v>4</v>
      </c>
      <c r="AL58" s="97" t="s">
        <v>54</v>
      </c>
      <c r="AM58" s="98">
        <v>1</v>
      </c>
      <c r="AN58" s="675" t="s">
        <v>54</v>
      </c>
      <c r="AO58" s="99">
        <v>1</v>
      </c>
      <c r="AP58" s="84"/>
      <c r="AQ58" s="84"/>
      <c r="AR58" s="84"/>
    </row>
    <row r="59" spans="2:44" ht="13.5" thickBot="1">
      <c r="B59" s="725"/>
      <c r="C59" s="525" t="s">
        <v>118</v>
      </c>
      <c r="D59" s="129"/>
      <c r="E59" s="130"/>
      <c r="F59" s="131"/>
      <c r="G59" s="332"/>
      <c r="H59" s="197"/>
      <c r="I59" s="336">
        <f t="shared" si="9"/>
      </c>
      <c r="J59" s="337">
        <f>IF(D58&gt;0,(E58*G58*I59),"")</f>
      </c>
      <c r="K59" s="267"/>
      <c r="L59" s="514"/>
      <c r="M59" s="514"/>
      <c r="N59" s="514"/>
      <c r="O59" s="522"/>
      <c r="P59" s="527"/>
      <c r="Q59" s="383"/>
      <c r="AH59" s="96" t="s">
        <v>292</v>
      </c>
      <c r="AI59" s="134" t="s">
        <v>56</v>
      </c>
      <c r="AJ59" s="97" t="s">
        <v>54</v>
      </c>
      <c r="AK59" s="98">
        <v>2</v>
      </c>
      <c r="AL59" s="97" t="s">
        <v>54</v>
      </c>
      <c r="AM59" s="98">
        <v>1</v>
      </c>
      <c r="AN59" s="675" t="s">
        <v>54</v>
      </c>
      <c r="AO59" s="99">
        <v>1</v>
      </c>
      <c r="AP59" s="84"/>
      <c r="AQ59" s="84"/>
      <c r="AR59" s="84"/>
    </row>
    <row r="60" spans="2:44" ht="13.5" thickBot="1">
      <c r="B60" s="528"/>
      <c r="C60" s="529"/>
      <c r="D60" s="530" t="s">
        <v>111</v>
      </c>
      <c r="E60" s="531">
        <f>SUM(E50:E59)</f>
        <v>0</v>
      </c>
      <c r="F60" s="532"/>
      <c r="G60" s="533"/>
      <c r="H60" s="533"/>
      <c r="I60" s="533"/>
      <c r="J60" s="534" t="s">
        <v>94</v>
      </c>
      <c r="K60" s="535">
        <f>SUM(K50:K59)</f>
        <v>0</v>
      </c>
      <c r="L60" s="536"/>
      <c r="M60" s="537"/>
      <c r="N60" s="537"/>
      <c r="O60" s="538" t="s">
        <v>195</v>
      </c>
      <c r="P60" s="539"/>
      <c r="Q60" s="379"/>
      <c r="AH60" s="96" t="s">
        <v>180</v>
      </c>
      <c r="AI60" s="134" t="s">
        <v>43</v>
      </c>
      <c r="AJ60" s="97" t="s">
        <v>52</v>
      </c>
      <c r="AK60" s="98">
        <v>6</v>
      </c>
      <c r="AL60" s="97" t="s">
        <v>76</v>
      </c>
      <c r="AM60" s="98">
        <v>2</v>
      </c>
      <c r="AN60" s="675" t="s">
        <v>54</v>
      </c>
      <c r="AO60" s="99">
        <v>1</v>
      </c>
      <c r="AP60" s="84"/>
      <c r="AQ60" s="84"/>
      <c r="AR60" s="84"/>
    </row>
    <row r="61" spans="2:44" ht="13.5" thickBot="1">
      <c r="B61" s="115"/>
      <c r="C61" s="115"/>
      <c r="D61" s="483"/>
      <c r="E61" s="540"/>
      <c r="F61" s="483"/>
      <c r="G61" s="483"/>
      <c r="H61" s="483"/>
      <c r="I61" s="483"/>
      <c r="J61" s="484"/>
      <c r="K61" s="540"/>
      <c r="L61" s="540"/>
      <c r="M61" s="791" t="s">
        <v>244</v>
      </c>
      <c r="N61" s="792"/>
      <c r="O61" s="541">
        <f>O45+K60</f>
        <v>1.82</v>
      </c>
      <c r="P61" s="137"/>
      <c r="Q61" s="137"/>
      <c r="AH61" s="96" t="s">
        <v>179</v>
      </c>
      <c r="AI61" s="134" t="s">
        <v>44</v>
      </c>
      <c r="AJ61" s="97" t="s">
        <v>52</v>
      </c>
      <c r="AK61" s="98">
        <v>6</v>
      </c>
      <c r="AL61" s="97" t="s">
        <v>76</v>
      </c>
      <c r="AM61" s="98">
        <v>2</v>
      </c>
      <c r="AN61" s="675" t="s">
        <v>54</v>
      </c>
      <c r="AO61" s="99">
        <v>1</v>
      </c>
      <c r="AP61" s="84"/>
      <c r="AQ61" s="84"/>
      <c r="AR61" s="84"/>
    </row>
    <row r="62" spans="2:44" ht="12.75">
      <c r="B62" s="138" t="str">
        <f>IF('Linear trading down correction'!E42+'Linear trading down correction'!F42+'Linear trading down correction'!G42,"CAUTION - Destruction of features of medium or high distinctiveness, e.g. hedgerows and streams, may be against local policy. Has the mitigation hierarchy been followed, can impact to these habitats be avoided?","")</f>
        <v>CAUTION - Destruction of features of medium or high distinctiveness, e.g. hedgerows and streams, may be against local policy. Has the mitigation hierarchy been followed, can impact to these habitats be avoided?</v>
      </c>
      <c r="C62" s="77"/>
      <c r="D62" s="78"/>
      <c r="E62" s="136"/>
      <c r="F62" s="78"/>
      <c r="G62" s="78"/>
      <c r="H62" s="78"/>
      <c r="I62" s="78"/>
      <c r="J62" s="86"/>
      <c r="K62" s="136"/>
      <c r="L62" s="136"/>
      <c r="M62" s="139"/>
      <c r="N62" s="78"/>
      <c r="O62" s="140"/>
      <c r="P62" s="137"/>
      <c r="Q62" s="137"/>
      <c r="AH62" s="96" t="s">
        <v>176</v>
      </c>
      <c r="AI62" s="134" t="s">
        <v>61</v>
      </c>
      <c r="AJ62" s="97" t="s">
        <v>54</v>
      </c>
      <c r="AK62" s="98">
        <v>2</v>
      </c>
      <c r="AL62" s="97" t="s">
        <v>54</v>
      </c>
      <c r="AM62" s="98">
        <v>1</v>
      </c>
      <c r="AN62" s="675" t="s">
        <v>54</v>
      </c>
      <c r="AO62" s="99">
        <v>1</v>
      </c>
      <c r="AP62" s="84"/>
      <c r="AQ62" s="84"/>
      <c r="AR62" s="84"/>
    </row>
    <row r="63" spans="1:44" s="117" customFormat="1" ht="13.5" thickBot="1">
      <c r="A63" s="115"/>
      <c r="B63" s="138" t="str">
        <f>IF('Linear trading down correction'!E42+'Linear trading down correction'!F42+'Linear trading down correction'!G42&gt;0,"Any unavoidable loss of valuable habitats must be replaced like-for-like. E.G. Loss of hedgerows must be replaced with similar or better hedgerows. All newly planted hedges should be native species-rich hedgerows.","")</f>
        <v>Any unavoidable loss of valuable habitats must be replaced like-for-like. E.G. Loss of hedgerows must be replaced with similar or better hedgerows. All newly planted hedges should be native species-rich hedgerows.</v>
      </c>
      <c r="C63" s="141"/>
      <c r="D63" s="142"/>
      <c r="E63" s="143"/>
      <c r="F63" s="144"/>
      <c r="G63" s="102"/>
      <c r="H63" s="144"/>
      <c r="I63" s="145"/>
      <c r="J63" s="146"/>
      <c r="K63" s="146"/>
      <c r="L63" s="147"/>
      <c r="M63" s="147"/>
      <c r="N63" s="147"/>
      <c r="P63" s="148"/>
      <c r="Q63" s="148"/>
      <c r="R63" s="115"/>
      <c r="S63" s="115"/>
      <c r="T63" s="115"/>
      <c r="U63" s="115"/>
      <c r="V63" s="115"/>
      <c r="W63" s="115"/>
      <c r="X63" s="115"/>
      <c r="Y63" s="115"/>
      <c r="Z63" s="115"/>
      <c r="AA63" s="115"/>
      <c r="AB63" s="115"/>
      <c r="AC63" s="115"/>
      <c r="AD63" s="115"/>
      <c r="AE63" s="115"/>
      <c r="AF63" s="115"/>
      <c r="AH63" s="96" t="s">
        <v>173</v>
      </c>
      <c r="AI63" s="134" t="s">
        <v>66</v>
      </c>
      <c r="AJ63" s="97" t="s">
        <v>133</v>
      </c>
      <c r="AK63" s="98">
        <v>0</v>
      </c>
      <c r="AL63" s="97" t="s">
        <v>54</v>
      </c>
      <c r="AM63" s="98">
        <v>1</v>
      </c>
      <c r="AN63" s="675" t="s">
        <v>54</v>
      </c>
      <c r="AO63" s="99">
        <v>1</v>
      </c>
      <c r="AP63" s="84"/>
      <c r="AQ63" s="84"/>
      <c r="AR63" s="84"/>
    </row>
    <row r="64" spans="2:44" ht="27.75" customHeight="1" thickBot="1">
      <c r="B64" s="77"/>
      <c r="C64" s="727" t="s">
        <v>247</v>
      </c>
      <c r="D64" s="728"/>
      <c r="E64" s="729"/>
      <c r="F64" s="742" t="s">
        <v>249</v>
      </c>
      <c r="G64" s="743"/>
      <c r="H64" s="742" t="s">
        <v>250</v>
      </c>
      <c r="I64" s="786"/>
      <c r="J64" s="279"/>
      <c r="K64" s="786" t="s">
        <v>95</v>
      </c>
      <c r="L64" s="743"/>
      <c r="M64" s="727" t="s">
        <v>99</v>
      </c>
      <c r="N64" s="729"/>
      <c r="O64" s="787" t="s">
        <v>258</v>
      </c>
      <c r="P64" s="77"/>
      <c r="Q64" s="77"/>
      <c r="AH64" s="96" t="s">
        <v>174</v>
      </c>
      <c r="AI64" s="134" t="s">
        <v>67</v>
      </c>
      <c r="AJ64" s="97" t="s">
        <v>54</v>
      </c>
      <c r="AK64" s="98">
        <v>2</v>
      </c>
      <c r="AL64" s="97" t="s">
        <v>54</v>
      </c>
      <c r="AM64" s="98">
        <v>1</v>
      </c>
      <c r="AN64" s="675" t="s">
        <v>54</v>
      </c>
      <c r="AO64" s="99">
        <v>1</v>
      </c>
      <c r="AP64" s="84"/>
      <c r="AQ64" s="84"/>
      <c r="AR64" s="84"/>
    </row>
    <row r="65" spans="2:44" ht="26.25" thickBot="1">
      <c r="B65" s="239" t="s">
        <v>11</v>
      </c>
      <c r="C65" s="240" t="s">
        <v>10</v>
      </c>
      <c r="D65" s="241" t="s">
        <v>209</v>
      </c>
      <c r="E65" s="244" t="s">
        <v>305</v>
      </c>
      <c r="F65" s="280" t="s">
        <v>0</v>
      </c>
      <c r="G65" s="281" t="s">
        <v>80</v>
      </c>
      <c r="H65" s="280" t="s">
        <v>1</v>
      </c>
      <c r="I65" s="282" t="s">
        <v>80</v>
      </c>
      <c r="J65" s="283"/>
      <c r="K65" s="284" t="s">
        <v>98</v>
      </c>
      <c r="L65" s="282" t="s">
        <v>80</v>
      </c>
      <c r="M65" s="285" t="s">
        <v>78</v>
      </c>
      <c r="N65" s="286" t="s">
        <v>80</v>
      </c>
      <c r="O65" s="794"/>
      <c r="P65" s="372" t="s">
        <v>9</v>
      </c>
      <c r="Q65" s="373"/>
      <c r="R65" s="150"/>
      <c r="S65" s="150"/>
      <c r="AH65" s="96" t="s">
        <v>175</v>
      </c>
      <c r="AI65" s="134" t="s">
        <v>67</v>
      </c>
      <c r="AJ65" s="97" t="s">
        <v>76</v>
      </c>
      <c r="AK65" s="98">
        <v>4</v>
      </c>
      <c r="AL65" s="97" t="s">
        <v>54</v>
      </c>
      <c r="AM65" s="98">
        <v>1</v>
      </c>
      <c r="AN65" s="675" t="s">
        <v>54</v>
      </c>
      <c r="AO65" s="99">
        <v>1</v>
      </c>
      <c r="AP65" s="84"/>
      <c r="AQ65" s="84"/>
      <c r="AR65" s="84"/>
    </row>
    <row r="66" spans="2:44" ht="26.25" thickBot="1">
      <c r="B66" s="114"/>
      <c r="C66" s="339"/>
      <c r="D66" s="338" t="s">
        <v>248</v>
      </c>
      <c r="E66" s="235" t="s">
        <v>120</v>
      </c>
      <c r="F66" s="287"/>
      <c r="G66" s="288" t="s">
        <v>121</v>
      </c>
      <c r="H66" s="289"/>
      <c r="I66" s="290" t="s">
        <v>145</v>
      </c>
      <c r="J66" s="283"/>
      <c r="K66" s="287"/>
      <c r="L66" s="291" t="s">
        <v>146</v>
      </c>
      <c r="M66" s="292"/>
      <c r="N66" s="288" t="s">
        <v>147</v>
      </c>
      <c r="O66" s="291" t="s">
        <v>280</v>
      </c>
      <c r="P66" s="365"/>
      <c r="Q66" s="366"/>
      <c r="R66" s="93"/>
      <c r="S66" s="93"/>
      <c r="AH66" s="96" t="s">
        <v>177</v>
      </c>
      <c r="AI66" s="134" t="s">
        <v>60</v>
      </c>
      <c r="AJ66" s="97" t="s">
        <v>76</v>
      </c>
      <c r="AK66" s="98">
        <v>4</v>
      </c>
      <c r="AL66" s="97" t="s">
        <v>54</v>
      </c>
      <c r="AM66" s="98">
        <v>1</v>
      </c>
      <c r="AN66" s="675" t="s">
        <v>54</v>
      </c>
      <c r="AO66" s="99">
        <v>1</v>
      </c>
      <c r="AP66" s="84"/>
      <c r="AQ66" s="84"/>
      <c r="AR66" s="84"/>
    </row>
    <row r="67" spans="2:41" ht="12.75">
      <c r="B67" s="198"/>
      <c r="C67" s="488" t="str">
        <f aca="true" t="shared" si="10" ref="C67:C81">IF($D67&gt;0,(VLOOKUP($D67,$AH$52:$AO$68,2,FALSE)),"")</f>
        <v>J211</v>
      </c>
      <c r="D67" s="838" t="s">
        <v>184</v>
      </c>
      <c r="E67" s="635">
        <v>0.37</v>
      </c>
      <c r="F67" s="629" t="str">
        <f aca="true" t="shared" si="11" ref="F67:F81">IF($D67&gt;0,(VLOOKUP($D67,$AH$52:$AO$68,3,FALSE)),"")</f>
        <v>High</v>
      </c>
      <c r="G67" s="315">
        <f aca="true" t="shared" si="12" ref="G67:G81">IF($D67&gt;0,(VLOOKUP($F67,$AQ$5:$AR$10,2,FALSE)),"")</f>
        <v>6</v>
      </c>
      <c r="H67" s="199" t="s">
        <v>70</v>
      </c>
      <c r="I67" s="318">
        <f aca="true" t="shared" si="13" ref="I67:I81">IF($H67&gt;0,(VLOOKUP($H67,$AQ$13:$AR$15,2,FALSE)),"")</f>
        <v>3</v>
      </c>
      <c r="J67" s="545"/>
      <c r="K67" s="189" t="s">
        <v>87</v>
      </c>
      <c r="L67" s="340">
        <f aca="true" t="shared" si="14" ref="L67:L81">IF($K67&gt;0,(VLOOKUP($K67,$AQ$18:$AR$24,2,FALSE)),"")</f>
        <v>1.4</v>
      </c>
      <c r="M67" s="188" t="str">
        <f aca="true" t="shared" si="15" ref="M67:M81">IF($D67&gt;0,(VLOOKUP($D67,$AH$52:$AO$68,5,FALSE)),"")</f>
        <v>Low</v>
      </c>
      <c r="N67" s="315">
        <f aca="true" t="shared" si="16" ref="N67:N81">IF($D67&gt;0,(VLOOKUP($M67,$AQ$27:$AR$31,2,FALSE)),"")</f>
        <v>1</v>
      </c>
      <c r="O67" s="335">
        <f>IF(D67&gt;0,(E67*G67*I67)/L67/N67,"")</f>
        <v>4.757142857142857</v>
      </c>
      <c r="P67" s="489"/>
      <c r="Q67" s="371"/>
      <c r="R67" s="155"/>
      <c r="S67" s="155"/>
      <c r="AH67" s="96" t="s">
        <v>178</v>
      </c>
      <c r="AI67" s="134" t="s">
        <v>68</v>
      </c>
      <c r="AJ67" s="97" t="s">
        <v>54</v>
      </c>
      <c r="AK67" s="98">
        <v>2</v>
      </c>
      <c r="AL67" s="97" t="s">
        <v>54</v>
      </c>
      <c r="AM67" s="98">
        <v>1</v>
      </c>
      <c r="AN67" s="675" t="s">
        <v>54</v>
      </c>
      <c r="AO67" s="99">
        <v>1</v>
      </c>
    </row>
    <row r="68" spans="2:41" ht="13.5" thickBot="1">
      <c r="B68" s="203"/>
      <c r="C68" s="490">
        <f t="shared" si="10"/>
      </c>
      <c r="D68" s="200"/>
      <c r="E68" s="636"/>
      <c r="F68" s="630">
        <f t="shared" si="11"/>
      </c>
      <c r="G68" s="316">
        <f t="shared" si="12"/>
      </c>
      <c r="H68" s="201"/>
      <c r="I68" s="319">
        <f t="shared" si="13"/>
      </c>
      <c r="J68" s="545"/>
      <c r="K68" s="202"/>
      <c r="L68" s="341">
        <f t="shared" si="14"/>
      </c>
      <c r="M68" s="191">
        <f t="shared" si="15"/>
      </c>
      <c r="N68" s="316">
        <f t="shared" si="16"/>
      </c>
      <c r="O68" s="343">
        <f aca="true" t="shared" si="17" ref="O68:O81">IF(D68&gt;0,(E68*G68*I68)/L68/N68,"")</f>
      </c>
      <c r="P68" s="546"/>
      <c r="Q68" s="158"/>
      <c r="AH68" s="672" t="s">
        <v>328</v>
      </c>
      <c r="AI68" s="673" t="s">
        <v>112</v>
      </c>
      <c r="AJ68" s="677" t="s">
        <v>54</v>
      </c>
      <c r="AK68" s="151">
        <v>2</v>
      </c>
      <c r="AL68" s="677" t="s">
        <v>54</v>
      </c>
      <c r="AM68" s="151">
        <v>1</v>
      </c>
      <c r="AN68" s="677" t="s">
        <v>54</v>
      </c>
      <c r="AO68" s="151">
        <v>1</v>
      </c>
    </row>
    <row r="69" spans="2:17" ht="13.5" thickBot="1">
      <c r="B69" s="203"/>
      <c r="C69" s="490">
        <f t="shared" si="10"/>
      </c>
      <c r="D69" s="200"/>
      <c r="E69" s="636"/>
      <c r="F69" s="630">
        <f t="shared" si="11"/>
      </c>
      <c r="G69" s="316">
        <f t="shared" si="12"/>
      </c>
      <c r="H69" s="201"/>
      <c r="I69" s="319">
        <f t="shared" si="13"/>
      </c>
      <c r="J69" s="545"/>
      <c r="K69" s="202"/>
      <c r="L69" s="341">
        <f t="shared" si="14"/>
      </c>
      <c r="M69" s="191">
        <f t="shared" si="15"/>
      </c>
      <c r="N69" s="316">
        <f t="shared" si="16"/>
      </c>
      <c r="O69" s="343">
        <f t="shared" si="17"/>
      </c>
      <c r="P69" s="546"/>
      <c r="Q69" s="158"/>
    </row>
    <row r="70" spans="2:41" ht="13.5" thickBot="1">
      <c r="B70" s="203"/>
      <c r="C70" s="490">
        <f t="shared" si="10"/>
      </c>
      <c r="D70" s="200"/>
      <c r="E70" s="636"/>
      <c r="F70" s="630">
        <f t="shared" si="11"/>
      </c>
      <c r="G70" s="316">
        <f t="shared" si="12"/>
      </c>
      <c r="H70" s="201"/>
      <c r="I70" s="319">
        <f t="shared" si="13"/>
      </c>
      <c r="J70" s="545"/>
      <c r="K70" s="202"/>
      <c r="L70" s="341">
        <f t="shared" si="14"/>
      </c>
      <c r="M70" s="191">
        <f t="shared" si="15"/>
      </c>
      <c r="N70" s="316">
        <f t="shared" si="16"/>
      </c>
      <c r="O70" s="343">
        <f t="shared" si="17"/>
      </c>
      <c r="P70" s="546"/>
      <c r="Q70" s="158"/>
      <c r="AH70" s="681" t="s">
        <v>331</v>
      </c>
      <c r="AI70" s="681" t="s">
        <v>332</v>
      </c>
      <c r="AJ70" s="84"/>
      <c r="AK70" s="84"/>
      <c r="AL70" s="152"/>
      <c r="AM70" s="153"/>
      <c r="AN70" s="152"/>
      <c r="AO70" s="153"/>
    </row>
    <row r="71" spans="2:41" ht="13.5" thickBot="1">
      <c r="B71" s="203"/>
      <c r="C71" s="490">
        <f t="shared" si="10"/>
      </c>
      <c r="D71" s="200"/>
      <c r="E71" s="636"/>
      <c r="F71" s="630">
        <f t="shared" si="11"/>
      </c>
      <c r="G71" s="316">
        <f t="shared" si="12"/>
      </c>
      <c r="H71" s="201"/>
      <c r="I71" s="319">
        <f t="shared" si="13"/>
      </c>
      <c r="J71" s="545"/>
      <c r="K71" s="202"/>
      <c r="L71" s="341">
        <f t="shared" si="14"/>
      </c>
      <c r="M71" s="191">
        <f t="shared" si="15"/>
      </c>
      <c r="N71" s="316">
        <f t="shared" si="16"/>
      </c>
      <c r="O71" s="343">
        <f t="shared" si="17"/>
      </c>
      <c r="P71" s="546"/>
      <c r="Q71" s="158"/>
      <c r="AH71" s="680" t="s">
        <v>79</v>
      </c>
      <c r="AI71" s="159" t="s">
        <v>79</v>
      </c>
      <c r="AJ71" s="84"/>
      <c r="AK71" s="84"/>
      <c r="AL71" s="152"/>
      <c r="AM71" s="153"/>
      <c r="AN71" s="152"/>
      <c r="AO71" s="153"/>
    </row>
    <row r="72" spans="2:41" ht="12.75">
      <c r="B72" s="203"/>
      <c r="C72" s="490">
        <f t="shared" si="10"/>
      </c>
      <c r="D72" s="200"/>
      <c r="E72" s="636"/>
      <c r="F72" s="630">
        <f t="shared" si="11"/>
      </c>
      <c r="G72" s="316">
        <f t="shared" si="12"/>
      </c>
      <c r="H72" s="201"/>
      <c r="I72" s="319">
        <f t="shared" si="13"/>
      </c>
      <c r="J72" s="545"/>
      <c r="K72" s="202"/>
      <c r="L72" s="341">
        <f t="shared" si="14"/>
      </c>
      <c r="M72" s="191">
        <f t="shared" si="15"/>
      </c>
      <c r="N72" s="316">
        <f t="shared" si="16"/>
      </c>
      <c r="O72" s="343">
        <f t="shared" si="17"/>
      </c>
      <c r="P72" s="546"/>
      <c r="Q72" s="158"/>
      <c r="AH72" s="678" t="s">
        <v>171</v>
      </c>
      <c r="AI72" s="160" t="s">
        <v>126</v>
      </c>
      <c r="AJ72" s="84"/>
      <c r="AK72" s="84"/>
      <c r="AL72" s="152"/>
      <c r="AM72" s="153"/>
      <c r="AN72" s="152"/>
      <c r="AO72" s="153"/>
    </row>
    <row r="73" spans="2:41" ht="12.75">
      <c r="B73" s="203"/>
      <c r="C73" s="490">
        <f t="shared" si="10"/>
      </c>
      <c r="D73" s="200"/>
      <c r="E73" s="636"/>
      <c r="F73" s="630">
        <f t="shared" si="11"/>
      </c>
      <c r="G73" s="316">
        <f t="shared" si="12"/>
      </c>
      <c r="H73" s="201"/>
      <c r="I73" s="319">
        <f t="shared" si="13"/>
      </c>
      <c r="J73" s="545"/>
      <c r="K73" s="202"/>
      <c r="L73" s="341">
        <f t="shared" si="14"/>
      </c>
      <c r="M73" s="191">
        <f t="shared" si="15"/>
      </c>
      <c r="N73" s="316">
        <f t="shared" si="16"/>
      </c>
      <c r="O73" s="343">
        <f t="shared" si="17"/>
      </c>
      <c r="P73" s="546"/>
      <c r="Q73" s="158"/>
      <c r="AH73" s="679" t="s">
        <v>172</v>
      </c>
      <c r="AI73" s="161" t="s">
        <v>127</v>
      </c>
      <c r="AJ73" s="84"/>
      <c r="AK73" s="84"/>
      <c r="AL73" s="152"/>
      <c r="AM73" s="153"/>
      <c r="AN73" s="152"/>
      <c r="AO73" s="153"/>
    </row>
    <row r="74" spans="2:41" ht="12.75">
      <c r="B74" s="203"/>
      <c r="C74" s="490">
        <f t="shared" si="10"/>
      </c>
      <c r="D74" s="200"/>
      <c r="E74" s="636"/>
      <c r="F74" s="630">
        <f t="shared" si="11"/>
      </c>
      <c r="G74" s="316">
        <f t="shared" si="12"/>
      </c>
      <c r="H74" s="201"/>
      <c r="I74" s="319">
        <f t="shared" si="13"/>
      </c>
      <c r="J74" s="545"/>
      <c r="K74" s="202"/>
      <c r="L74" s="341">
        <f t="shared" si="14"/>
      </c>
      <c r="M74" s="191">
        <f t="shared" si="15"/>
      </c>
      <c r="N74" s="316">
        <f t="shared" si="16"/>
      </c>
      <c r="O74" s="343">
        <f t="shared" si="17"/>
      </c>
      <c r="P74" s="546"/>
      <c r="Q74" s="158"/>
      <c r="AH74" s="679" t="s">
        <v>127</v>
      </c>
      <c r="AI74" s="161" t="s">
        <v>128</v>
      </c>
      <c r="AJ74" s="84"/>
      <c r="AK74" s="84"/>
      <c r="AL74" s="152"/>
      <c r="AM74" s="153"/>
      <c r="AN74" s="152"/>
      <c r="AO74" s="153"/>
    </row>
    <row r="75" spans="2:41" ht="12.75">
      <c r="B75" s="203"/>
      <c r="C75" s="490">
        <f t="shared" si="10"/>
      </c>
      <c r="D75" s="200"/>
      <c r="E75" s="636"/>
      <c r="F75" s="630">
        <f t="shared" si="11"/>
      </c>
      <c r="G75" s="316">
        <f t="shared" si="12"/>
      </c>
      <c r="H75" s="201"/>
      <c r="I75" s="319">
        <f t="shared" si="13"/>
      </c>
      <c r="J75" s="545"/>
      <c r="K75" s="202"/>
      <c r="L75" s="341">
        <f t="shared" si="14"/>
      </c>
      <c r="M75" s="191">
        <f t="shared" si="15"/>
      </c>
      <c r="N75" s="316">
        <f t="shared" si="16"/>
      </c>
      <c r="O75" s="343">
        <f t="shared" si="17"/>
      </c>
      <c r="P75" s="546"/>
      <c r="Q75" s="158"/>
      <c r="AH75" s="679" t="s">
        <v>129</v>
      </c>
      <c r="AI75" s="161" t="s">
        <v>129</v>
      </c>
      <c r="AJ75" s="84"/>
      <c r="AK75" s="84"/>
      <c r="AL75" s="152"/>
      <c r="AM75" s="153"/>
      <c r="AN75" s="152"/>
      <c r="AO75" s="153"/>
    </row>
    <row r="76" spans="2:41" ht="12.75">
      <c r="B76" s="203"/>
      <c r="C76" s="490">
        <f t="shared" si="10"/>
      </c>
      <c r="D76" s="200"/>
      <c r="E76" s="636"/>
      <c r="F76" s="630">
        <f t="shared" si="11"/>
      </c>
      <c r="G76" s="316">
        <f t="shared" si="12"/>
      </c>
      <c r="H76" s="201"/>
      <c r="I76" s="319">
        <f t="shared" si="13"/>
      </c>
      <c r="J76" s="545"/>
      <c r="K76" s="202"/>
      <c r="L76" s="341">
        <f t="shared" si="14"/>
      </c>
      <c r="M76" s="191">
        <f t="shared" si="15"/>
      </c>
      <c r="N76" s="316">
        <f t="shared" si="16"/>
      </c>
      <c r="O76" s="343">
        <f t="shared" si="17"/>
      </c>
      <c r="P76" s="546"/>
      <c r="Q76" s="158"/>
      <c r="AH76" s="679" t="s">
        <v>131</v>
      </c>
      <c r="AI76" s="161" t="s">
        <v>130</v>
      </c>
      <c r="AJ76" s="84"/>
      <c r="AK76" s="84"/>
      <c r="AL76" s="152"/>
      <c r="AM76" s="153"/>
      <c r="AN76" s="152"/>
      <c r="AO76" s="153"/>
    </row>
    <row r="77" spans="2:41" ht="12.75">
      <c r="B77" s="203"/>
      <c r="C77" s="490">
        <f t="shared" si="10"/>
      </c>
      <c r="D77" s="200"/>
      <c r="E77" s="636"/>
      <c r="F77" s="630">
        <f t="shared" si="11"/>
      </c>
      <c r="G77" s="316">
        <f t="shared" si="12"/>
      </c>
      <c r="H77" s="201"/>
      <c r="I77" s="319">
        <f t="shared" si="13"/>
      </c>
      <c r="J77" s="545"/>
      <c r="K77" s="202"/>
      <c r="L77" s="341">
        <f t="shared" si="14"/>
      </c>
      <c r="M77" s="191">
        <f t="shared" si="15"/>
      </c>
      <c r="N77" s="316">
        <f t="shared" si="16"/>
      </c>
      <c r="O77" s="343">
        <f t="shared" si="17"/>
      </c>
      <c r="P77" s="546"/>
      <c r="Q77" s="158"/>
      <c r="AH77" s="679" t="s">
        <v>132</v>
      </c>
      <c r="AI77" s="161" t="s">
        <v>131</v>
      </c>
      <c r="AJ77" s="84"/>
      <c r="AK77" s="84"/>
      <c r="AL77" s="152"/>
      <c r="AM77" s="153"/>
      <c r="AN77" s="152"/>
      <c r="AO77" s="153"/>
    </row>
    <row r="78" spans="2:41" ht="12.75">
      <c r="B78" s="203"/>
      <c r="C78" s="490">
        <f t="shared" si="10"/>
      </c>
      <c r="D78" s="200"/>
      <c r="E78" s="636"/>
      <c r="F78" s="630">
        <f t="shared" si="11"/>
      </c>
      <c r="G78" s="316">
        <f t="shared" si="12"/>
      </c>
      <c r="H78" s="201"/>
      <c r="I78" s="319">
        <f t="shared" si="13"/>
      </c>
      <c r="J78" s="545"/>
      <c r="K78" s="202"/>
      <c r="L78" s="341">
        <f t="shared" si="14"/>
      </c>
      <c r="M78" s="191">
        <f t="shared" si="15"/>
      </c>
      <c r="N78" s="316">
        <f t="shared" si="16"/>
      </c>
      <c r="O78" s="343">
        <f t="shared" si="17"/>
      </c>
      <c r="P78" s="546"/>
      <c r="Q78" s="158"/>
      <c r="AH78" s="679" t="s">
        <v>148</v>
      </c>
      <c r="AI78" s="161" t="s">
        <v>132</v>
      </c>
      <c r="AJ78" s="84"/>
      <c r="AK78" s="84"/>
      <c r="AL78" s="152"/>
      <c r="AM78" s="153"/>
      <c r="AN78" s="152"/>
      <c r="AO78" s="153"/>
    </row>
    <row r="79" spans="2:41" ht="12.75">
      <c r="B79" s="203"/>
      <c r="C79" s="490">
        <f t="shared" si="10"/>
      </c>
      <c r="D79" s="200"/>
      <c r="E79" s="636"/>
      <c r="F79" s="630">
        <f t="shared" si="11"/>
      </c>
      <c r="G79" s="316">
        <f t="shared" si="12"/>
      </c>
      <c r="H79" s="201"/>
      <c r="I79" s="319">
        <f t="shared" si="13"/>
      </c>
      <c r="J79" s="545"/>
      <c r="K79" s="202"/>
      <c r="L79" s="341">
        <f t="shared" si="14"/>
      </c>
      <c r="M79" s="191">
        <f t="shared" si="15"/>
      </c>
      <c r="N79" s="316">
        <f t="shared" si="16"/>
      </c>
      <c r="O79" s="343">
        <f t="shared" si="17"/>
      </c>
      <c r="P79" s="546"/>
      <c r="Q79" s="158"/>
      <c r="AH79" s="679" t="s">
        <v>149</v>
      </c>
      <c r="AI79" s="161" t="s">
        <v>148</v>
      </c>
      <c r="AJ79" s="657"/>
      <c r="AK79" s="657"/>
      <c r="AL79" s="658"/>
      <c r="AM79" s="658"/>
      <c r="AN79" s="658"/>
      <c r="AO79" s="658"/>
    </row>
    <row r="80" spans="2:41" ht="12.75">
      <c r="B80" s="203"/>
      <c r="C80" s="490">
        <f t="shared" si="10"/>
      </c>
      <c r="D80" s="200"/>
      <c r="E80" s="636"/>
      <c r="F80" s="630">
        <f t="shared" si="11"/>
      </c>
      <c r="G80" s="316">
        <f t="shared" si="12"/>
      </c>
      <c r="H80" s="201"/>
      <c r="I80" s="319">
        <f t="shared" si="13"/>
      </c>
      <c r="J80" s="545"/>
      <c r="K80" s="202"/>
      <c r="L80" s="341">
        <f t="shared" si="14"/>
      </c>
      <c r="M80" s="191">
        <f t="shared" si="15"/>
      </c>
      <c r="N80" s="316">
        <f t="shared" si="16"/>
      </c>
      <c r="O80" s="343">
        <f t="shared" si="17"/>
      </c>
      <c r="P80" s="546"/>
      <c r="Q80" s="158"/>
      <c r="AH80" s="96" t="s">
        <v>335</v>
      </c>
      <c r="AI80" s="161" t="s">
        <v>149</v>
      </c>
      <c r="AJ80" s="163"/>
      <c r="AK80" s="164"/>
      <c r="AL80" s="163"/>
      <c r="AM80" s="164"/>
      <c r="AN80" s="165"/>
      <c r="AO80" s="166"/>
    </row>
    <row r="81" spans="2:41" ht="13.5" thickBot="1">
      <c r="B81" s="493"/>
      <c r="C81" s="494">
        <f t="shared" si="10"/>
      </c>
      <c r="D81" s="204"/>
      <c r="E81" s="637"/>
      <c r="F81" s="631">
        <f t="shared" si="11"/>
      </c>
      <c r="G81" s="317">
        <f t="shared" si="12"/>
      </c>
      <c r="H81" s="205"/>
      <c r="I81" s="320">
        <f t="shared" si="13"/>
      </c>
      <c r="J81" s="545"/>
      <c r="K81" s="206"/>
      <c r="L81" s="342">
        <f t="shared" si="14"/>
      </c>
      <c r="M81" s="193">
        <f t="shared" si="15"/>
      </c>
      <c r="N81" s="317">
        <f t="shared" si="16"/>
      </c>
      <c r="O81" s="344">
        <f t="shared" si="17"/>
      </c>
      <c r="P81" s="547"/>
      <c r="Q81" s="369"/>
      <c r="AH81" s="96" t="s">
        <v>336</v>
      </c>
      <c r="AI81" s="96" t="s">
        <v>335</v>
      </c>
      <c r="AJ81" s="163"/>
      <c r="AK81" s="164"/>
      <c r="AL81" s="163"/>
      <c r="AM81" s="164"/>
      <c r="AN81" s="165"/>
      <c r="AO81" s="166"/>
    </row>
    <row r="82" spans="2:44" ht="13.5" thickBot="1">
      <c r="B82" s="548"/>
      <c r="C82" s="170"/>
      <c r="D82" s="499" t="s">
        <v>111</v>
      </c>
      <c r="E82" s="541">
        <f>SUM(E67:E81)</f>
        <v>0.37</v>
      </c>
      <c r="F82" s="345"/>
      <c r="G82" s="273"/>
      <c r="H82" s="274"/>
      <c r="I82" s="274"/>
      <c r="J82" s="543"/>
      <c r="K82" s="274"/>
      <c r="L82" s="549"/>
      <c r="M82" s="272"/>
      <c r="N82" s="346"/>
      <c r="O82" s="550"/>
      <c r="P82" s="544"/>
      <c r="Q82" s="366"/>
      <c r="AH82" s="96" t="s">
        <v>337</v>
      </c>
      <c r="AI82" s="96" t="s">
        <v>336</v>
      </c>
      <c r="AJ82" s="163"/>
      <c r="AK82" s="164"/>
      <c r="AL82" s="163"/>
      <c r="AM82" s="164"/>
      <c r="AN82" s="165"/>
      <c r="AO82" s="166"/>
      <c r="AP82" s="110"/>
      <c r="AQ82" s="110"/>
      <c r="AR82" s="110"/>
    </row>
    <row r="83" spans="2:41" ht="39" thickBot="1">
      <c r="B83" s="177"/>
      <c r="C83" s="178"/>
      <c r="D83" s="271" t="s">
        <v>324</v>
      </c>
      <c r="E83" s="347"/>
      <c r="F83" s="272"/>
      <c r="G83" s="273"/>
      <c r="H83" s="274"/>
      <c r="I83" s="275">
        <f>IF($H83&gt;0,(VLOOKUP($H83,$AQ$5:$AR$7,2,FALSE)),"")</f>
      </c>
      <c r="J83" s="276" t="s">
        <v>208</v>
      </c>
      <c r="K83" s="274"/>
      <c r="L83" s="277">
        <f>IF($K83&gt;0,(VLOOKUP($K83,$AQ$24:$AR$30,2,FALSE)),"")</f>
      </c>
      <c r="M83" s="272"/>
      <c r="N83" s="272"/>
      <c r="O83" s="278" t="s">
        <v>279</v>
      </c>
      <c r="P83" s="544"/>
      <c r="Q83" s="366"/>
      <c r="AH83" s="679" t="s">
        <v>151</v>
      </c>
      <c r="AI83" s="96" t="s">
        <v>337</v>
      </c>
      <c r="AJ83" s="163"/>
      <c r="AK83" s="164"/>
      <c r="AL83" s="163"/>
      <c r="AM83" s="164"/>
      <c r="AN83" s="165"/>
      <c r="AO83" s="166"/>
    </row>
    <row r="84" spans="2:44" ht="12.75">
      <c r="B84" s="487"/>
      <c r="C84" s="488" t="str">
        <f aca="true" t="shared" si="18" ref="C84:C98">IF($D84&gt;0,(VLOOKUP($D84,$AH$52:$AO$68,2,FALSE)),"")</f>
        <v>J21</v>
      </c>
      <c r="D84" s="839" t="s">
        <v>185</v>
      </c>
      <c r="E84" s="638">
        <v>0.77</v>
      </c>
      <c r="F84" s="629" t="str">
        <f aca="true" t="shared" si="19" ref="F84:F98">IF($D84&gt;0,(VLOOKUP($D84,$AH$52:$AO$68,3,FALSE)),"")</f>
        <v>Medium</v>
      </c>
      <c r="G84" s="315">
        <f aca="true" t="shared" si="20" ref="G84:G98">IF($D84&gt;0,(VLOOKUP($F84,$AQ$5:$AR$10,2,FALSE)),"")</f>
        <v>4</v>
      </c>
      <c r="H84" s="199" t="s">
        <v>70</v>
      </c>
      <c r="I84" s="318">
        <f aca="true" t="shared" si="21" ref="I84:I98">IF($H84&gt;0,(VLOOKUP($H84,$AQ$13:$AR$15,2,FALSE)),"")</f>
        <v>3</v>
      </c>
      <c r="J84" s="207">
        <f>M15</f>
        <v>6.16</v>
      </c>
      <c r="K84" s="189" t="s">
        <v>87</v>
      </c>
      <c r="L84" s="340">
        <f aca="true" t="shared" si="22" ref="L84:L98">IF($K84&gt;0,(VLOOKUP($K84,$AQ$18:$AR$24,2,FALSE)),"")</f>
        <v>1.4</v>
      </c>
      <c r="M84" s="188" t="str">
        <f aca="true" t="shared" si="23" ref="M84:M98">IF($D84&gt;0,(VLOOKUP($D84,$AH$52:$AO$68,7,FALSE)),"")</f>
        <v>Low</v>
      </c>
      <c r="N84" s="315">
        <f aca="true" t="shared" si="24" ref="N84:N98">IF($D84&gt;0,(VLOOKUP($M84,$AQ$27:$AR$31,2,FALSE)),"")</f>
        <v>1</v>
      </c>
      <c r="O84" s="335">
        <f aca="true" t="shared" si="25" ref="O84:O98">IF(D84&gt;0,((E84*G84*I84-J84)/L84/N84),"")</f>
        <v>2.2</v>
      </c>
      <c r="P84" s="840" t="s">
        <v>364</v>
      </c>
      <c r="Q84" s="368"/>
      <c r="AH84" s="679" t="s">
        <v>152</v>
      </c>
      <c r="AI84" s="161" t="s">
        <v>151</v>
      </c>
      <c r="AJ84" s="163"/>
      <c r="AK84" s="164"/>
      <c r="AL84" s="163"/>
      <c r="AM84" s="164"/>
      <c r="AN84" s="165"/>
      <c r="AO84" s="166"/>
      <c r="AP84" s="110"/>
      <c r="AQ84" s="110"/>
      <c r="AR84" s="110"/>
    </row>
    <row r="85" spans="2:41" ht="12.75">
      <c r="B85" s="203"/>
      <c r="C85" s="490">
        <f t="shared" si="18"/>
      </c>
      <c r="D85" s="208"/>
      <c r="E85" s="639"/>
      <c r="F85" s="630">
        <f t="shared" si="19"/>
      </c>
      <c r="G85" s="316">
        <f t="shared" si="20"/>
      </c>
      <c r="H85" s="201"/>
      <c r="I85" s="319">
        <f t="shared" si="21"/>
      </c>
      <c r="J85" s="209"/>
      <c r="K85" s="202"/>
      <c r="L85" s="341">
        <f t="shared" si="22"/>
      </c>
      <c r="M85" s="191">
        <f t="shared" si="23"/>
      </c>
      <c r="N85" s="316">
        <f t="shared" si="24"/>
      </c>
      <c r="O85" s="343">
        <f t="shared" si="25"/>
      </c>
      <c r="P85" s="546"/>
      <c r="Q85" s="158"/>
      <c r="AH85" s="679" t="s">
        <v>153</v>
      </c>
      <c r="AI85" s="161" t="s">
        <v>152</v>
      </c>
      <c r="AJ85" s="163"/>
      <c r="AK85" s="164"/>
      <c r="AL85" s="163"/>
      <c r="AM85" s="164"/>
      <c r="AN85" s="163"/>
      <c r="AO85" s="164"/>
    </row>
    <row r="86" spans="2:41" ht="12.75">
      <c r="B86" s="203"/>
      <c r="C86" s="490">
        <f t="shared" si="18"/>
      </c>
      <c r="D86" s="208"/>
      <c r="E86" s="639"/>
      <c r="F86" s="630">
        <f t="shared" si="19"/>
      </c>
      <c r="G86" s="316">
        <f t="shared" si="20"/>
      </c>
      <c r="H86" s="201"/>
      <c r="I86" s="319">
        <f t="shared" si="21"/>
      </c>
      <c r="J86" s="209"/>
      <c r="K86" s="202"/>
      <c r="L86" s="341">
        <f t="shared" si="22"/>
      </c>
      <c r="M86" s="191">
        <f t="shared" si="23"/>
      </c>
      <c r="N86" s="316">
        <f t="shared" si="24"/>
      </c>
      <c r="O86" s="343">
        <f t="shared" si="25"/>
      </c>
      <c r="P86" s="546"/>
      <c r="Q86" s="158"/>
      <c r="AH86" s="679" t="s">
        <v>154</v>
      </c>
      <c r="AI86" s="161" t="s">
        <v>153</v>
      </c>
      <c r="AJ86" s="163"/>
      <c r="AK86" s="164"/>
      <c r="AL86" s="163"/>
      <c r="AM86" s="164"/>
      <c r="AN86" s="165"/>
      <c r="AO86" s="166"/>
    </row>
    <row r="87" spans="2:41" ht="12.75">
      <c r="B87" s="203"/>
      <c r="C87" s="490">
        <f t="shared" si="18"/>
      </c>
      <c r="D87" s="208"/>
      <c r="E87" s="639"/>
      <c r="F87" s="630">
        <f t="shared" si="19"/>
      </c>
      <c r="G87" s="316">
        <f t="shared" si="20"/>
      </c>
      <c r="H87" s="201"/>
      <c r="I87" s="319">
        <f t="shared" si="21"/>
      </c>
      <c r="J87" s="209"/>
      <c r="K87" s="202"/>
      <c r="L87" s="341">
        <f t="shared" si="22"/>
      </c>
      <c r="M87" s="191">
        <f t="shared" si="23"/>
      </c>
      <c r="N87" s="316">
        <f t="shared" si="24"/>
      </c>
      <c r="O87" s="343">
        <f t="shared" si="25"/>
      </c>
      <c r="P87" s="546"/>
      <c r="Q87" s="158"/>
      <c r="AH87" s="679" t="s">
        <v>155</v>
      </c>
      <c r="AI87" s="161" t="s">
        <v>154</v>
      </c>
      <c r="AJ87" s="163"/>
      <c r="AK87" s="164"/>
      <c r="AL87" s="163"/>
      <c r="AM87" s="164"/>
      <c r="AN87" s="165"/>
      <c r="AO87" s="166"/>
    </row>
    <row r="88" spans="2:41" ht="12.75">
      <c r="B88" s="203"/>
      <c r="C88" s="490">
        <f t="shared" si="18"/>
      </c>
      <c r="D88" s="208"/>
      <c r="E88" s="639"/>
      <c r="F88" s="630">
        <f t="shared" si="19"/>
      </c>
      <c r="G88" s="316">
        <f t="shared" si="20"/>
      </c>
      <c r="H88" s="201"/>
      <c r="I88" s="319">
        <f t="shared" si="21"/>
      </c>
      <c r="J88" s="209"/>
      <c r="K88" s="202"/>
      <c r="L88" s="341">
        <f t="shared" si="22"/>
      </c>
      <c r="M88" s="191">
        <f t="shared" si="23"/>
      </c>
      <c r="N88" s="316">
        <f t="shared" si="24"/>
      </c>
      <c r="O88" s="343">
        <f t="shared" si="25"/>
      </c>
      <c r="P88" s="546"/>
      <c r="Q88" s="158"/>
      <c r="AH88" s="679" t="s">
        <v>156</v>
      </c>
      <c r="AI88" s="161" t="s">
        <v>155</v>
      </c>
      <c r="AJ88" s="163"/>
      <c r="AK88" s="164"/>
      <c r="AL88" s="163"/>
      <c r="AM88" s="164"/>
      <c r="AN88" s="165"/>
      <c r="AO88" s="166"/>
    </row>
    <row r="89" spans="2:41" ht="12.75">
      <c r="B89" s="203"/>
      <c r="C89" s="490">
        <f t="shared" si="18"/>
      </c>
      <c r="D89" s="208"/>
      <c r="E89" s="639"/>
      <c r="F89" s="630">
        <f t="shared" si="19"/>
      </c>
      <c r="G89" s="316">
        <f t="shared" si="20"/>
      </c>
      <c r="H89" s="201"/>
      <c r="I89" s="319">
        <f t="shared" si="21"/>
      </c>
      <c r="J89" s="209"/>
      <c r="K89" s="202"/>
      <c r="L89" s="341">
        <f t="shared" si="22"/>
      </c>
      <c r="M89" s="191">
        <f t="shared" si="23"/>
      </c>
      <c r="N89" s="316">
        <f t="shared" si="24"/>
      </c>
      <c r="O89" s="343">
        <f t="shared" si="25"/>
      </c>
      <c r="P89" s="546"/>
      <c r="Q89" s="158"/>
      <c r="AH89" s="679" t="s">
        <v>157</v>
      </c>
      <c r="AI89" s="161" t="s">
        <v>156</v>
      </c>
      <c r="AJ89" s="163"/>
      <c r="AK89" s="164"/>
      <c r="AL89" s="163"/>
      <c r="AM89" s="164"/>
      <c r="AN89" s="165"/>
      <c r="AO89" s="166"/>
    </row>
    <row r="90" spans="2:41" ht="12.75">
      <c r="B90" s="203"/>
      <c r="C90" s="490">
        <f t="shared" si="18"/>
      </c>
      <c r="D90" s="208"/>
      <c r="E90" s="639"/>
      <c r="F90" s="630">
        <f t="shared" si="19"/>
      </c>
      <c r="G90" s="316">
        <f t="shared" si="20"/>
      </c>
      <c r="H90" s="201"/>
      <c r="I90" s="319">
        <f t="shared" si="21"/>
      </c>
      <c r="J90" s="209"/>
      <c r="K90" s="202"/>
      <c r="L90" s="341">
        <f t="shared" si="22"/>
      </c>
      <c r="M90" s="191">
        <f t="shared" si="23"/>
      </c>
      <c r="N90" s="316">
        <f t="shared" si="24"/>
      </c>
      <c r="O90" s="343">
        <f t="shared" si="25"/>
      </c>
      <c r="P90" s="546"/>
      <c r="Q90" s="158"/>
      <c r="AH90" s="679" t="s">
        <v>162</v>
      </c>
      <c r="AI90" s="161" t="s">
        <v>157</v>
      </c>
      <c r="AJ90" s="163"/>
      <c r="AK90" s="164"/>
      <c r="AL90" s="163"/>
      <c r="AM90" s="164"/>
      <c r="AN90" s="165"/>
      <c r="AO90" s="166"/>
    </row>
    <row r="91" spans="2:41" ht="12.75">
      <c r="B91" s="203"/>
      <c r="C91" s="490">
        <f t="shared" si="18"/>
      </c>
      <c r="D91" s="208"/>
      <c r="E91" s="639"/>
      <c r="F91" s="630">
        <f t="shared" si="19"/>
      </c>
      <c r="G91" s="316">
        <f t="shared" si="20"/>
      </c>
      <c r="H91" s="201"/>
      <c r="I91" s="319">
        <f t="shared" si="21"/>
      </c>
      <c r="J91" s="209"/>
      <c r="K91" s="202"/>
      <c r="L91" s="341">
        <f t="shared" si="22"/>
      </c>
      <c r="M91" s="191">
        <f t="shared" si="23"/>
      </c>
      <c r="N91" s="316">
        <f t="shared" si="24"/>
      </c>
      <c r="O91" s="343">
        <f t="shared" si="25"/>
      </c>
      <c r="P91" s="546"/>
      <c r="Q91" s="158"/>
      <c r="AH91" s="679" t="s">
        <v>210</v>
      </c>
      <c r="AI91" s="161" t="s">
        <v>162</v>
      </c>
      <c r="AJ91" s="163"/>
      <c r="AK91" s="164"/>
      <c r="AL91" s="163"/>
      <c r="AM91" s="164"/>
      <c r="AN91" s="165"/>
      <c r="AO91" s="166"/>
    </row>
    <row r="92" spans="1:65" s="113" customFormat="1" ht="12.75">
      <c r="A92" s="78"/>
      <c r="B92" s="203"/>
      <c r="C92" s="490">
        <f t="shared" si="18"/>
      </c>
      <c r="D92" s="208"/>
      <c r="E92" s="639"/>
      <c r="F92" s="630">
        <f t="shared" si="19"/>
      </c>
      <c r="G92" s="316">
        <f t="shared" si="20"/>
      </c>
      <c r="H92" s="201"/>
      <c r="I92" s="319">
        <f t="shared" si="21"/>
      </c>
      <c r="J92" s="209"/>
      <c r="K92" s="202"/>
      <c r="L92" s="341">
        <f t="shared" si="22"/>
      </c>
      <c r="M92" s="191">
        <f t="shared" si="23"/>
      </c>
      <c r="N92" s="316">
        <f t="shared" si="24"/>
      </c>
      <c r="O92" s="343">
        <f t="shared" si="25"/>
      </c>
      <c r="P92" s="546"/>
      <c r="Q92" s="158"/>
      <c r="R92" s="78"/>
      <c r="S92" s="78"/>
      <c r="T92" s="78"/>
      <c r="U92" s="78"/>
      <c r="V92" s="78"/>
      <c r="W92" s="78"/>
      <c r="X92" s="78"/>
      <c r="Y92" s="78"/>
      <c r="Z92" s="78"/>
      <c r="AA92" s="77"/>
      <c r="AB92" s="77"/>
      <c r="AC92" s="77"/>
      <c r="AD92" s="77"/>
      <c r="AE92" s="77"/>
      <c r="AF92" s="77"/>
      <c r="AG92" s="80"/>
      <c r="AH92" s="679" t="s">
        <v>161</v>
      </c>
      <c r="AI92" s="161" t="s">
        <v>210</v>
      </c>
      <c r="AJ92" s="163"/>
      <c r="AK92" s="164"/>
      <c r="AL92" s="163"/>
      <c r="AM92" s="164"/>
      <c r="AN92" s="165"/>
      <c r="AO92" s="166"/>
      <c r="AP92" s="110"/>
      <c r="AQ92" s="110"/>
      <c r="AR92" s="110"/>
      <c r="AS92" s="110"/>
      <c r="AT92" s="110"/>
      <c r="AU92" s="110"/>
      <c r="AV92" s="110"/>
      <c r="AW92" s="110"/>
      <c r="AX92" s="110"/>
      <c r="AY92" s="110"/>
      <c r="AZ92" s="110"/>
      <c r="BA92" s="110"/>
      <c r="BB92" s="110"/>
      <c r="BC92" s="110"/>
      <c r="BD92" s="110"/>
      <c r="BE92" s="110"/>
      <c r="BF92" s="110"/>
      <c r="BG92" s="110"/>
      <c r="BH92" s="110"/>
      <c r="BI92" s="110"/>
      <c r="BJ92" s="110"/>
      <c r="BK92" s="110"/>
      <c r="BL92" s="110"/>
      <c r="BM92" s="110"/>
    </row>
    <row r="93" spans="2:41" ht="12.75">
      <c r="B93" s="203"/>
      <c r="C93" s="490">
        <f t="shared" si="18"/>
      </c>
      <c r="D93" s="210"/>
      <c r="E93" s="639"/>
      <c r="F93" s="630">
        <f t="shared" si="19"/>
      </c>
      <c r="G93" s="316">
        <f t="shared" si="20"/>
      </c>
      <c r="H93" s="201"/>
      <c r="I93" s="319">
        <f t="shared" si="21"/>
      </c>
      <c r="J93" s="209"/>
      <c r="K93" s="202"/>
      <c r="L93" s="341">
        <f t="shared" si="22"/>
      </c>
      <c r="M93" s="191">
        <f t="shared" si="23"/>
      </c>
      <c r="N93" s="316">
        <f t="shared" si="24"/>
      </c>
      <c r="O93" s="343">
        <f t="shared" si="25"/>
      </c>
      <c r="P93" s="546"/>
      <c r="Q93" s="158"/>
      <c r="AH93" s="679" t="s">
        <v>160</v>
      </c>
      <c r="AI93" s="161" t="s">
        <v>161</v>
      </c>
      <c r="AJ93" s="163"/>
      <c r="AK93" s="164"/>
      <c r="AL93" s="163"/>
      <c r="AM93" s="164"/>
      <c r="AN93" s="165"/>
      <c r="AO93" s="166"/>
    </row>
    <row r="94" spans="1:65" s="113" customFormat="1" ht="12.75">
      <c r="A94" s="78"/>
      <c r="B94" s="203"/>
      <c r="C94" s="490">
        <f t="shared" si="18"/>
      </c>
      <c r="D94" s="208"/>
      <c r="E94" s="639"/>
      <c r="F94" s="630">
        <f t="shared" si="19"/>
      </c>
      <c r="G94" s="316">
        <f t="shared" si="20"/>
      </c>
      <c r="H94" s="201"/>
      <c r="I94" s="319">
        <f t="shared" si="21"/>
      </c>
      <c r="J94" s="209"/>
      <c r="K94" s="202"/>
      <c r="L94" s="341">
        <f t="shared" si="22"/>
      </c>
      <c r="M94" s="191">
        <f t="shared" si="23"/>
      </c>
      <c r="N94" s="316">
        <f t="shared" si="24"/>
      </c>
      <c r="O94" s="343">
        <f t="shared" si="25"/>
      </c>
      <c r="P94" s="546"/>
      <c r="Q94" s="158"/>
      <c r="R94" s="78"/>
      <c r="S94" s="78"/>
      <c r="T94" s="78"/>
      <c r="U94" s="78"/>
      <c r="V94" s="78"/>
      <c r="W94" s="78"/>
      <c r="X94" s="78"/>
      <c r="Y94" s="78"/>
      <c r="Z94" s="78"/>
      <c r="AA94" s="77"/>
      <c r="AB94" s="77"/>
      <c r="AC94" s="77"/>
      <c r="AD94" s="77"/>
      <c r="AE94" s="77"/>
      <c r="AF94" s="77"/>
      <c r="AG94" s="80"/>
      <c r="AH94" s="679" t="s">
        <v>168</v>
      </c>
      <c r="AI94" s="161" t="s">
        <v>168</v>
      </c>
      <c r="AJ94" s="163"/>
      <c r="AK94" s="164"/>
      <c r="AL94" s="163"/>
      <c r="AM94" s="164"/>
      <c r="AN94" s="165"/>
      <c r="AO94" s="166"/>
      <c r="AP94" s="80"/>
      <c r="AQ94" s="80"/>
      <c r="AR94" s="80"/>
      <c r="AS94" s="110"/>
      <c r="AT94" s="110"/>
      <c r="AU94" s="110"/>
      <c r="AV94" s="110"/>
      <c r="AW94" s="110"/>
      <c r="AX94" s="110"/>
      <c r="AY94" s="110"/>
      <c r="AZ94" s="110"/>
      <c r="BA94" s="110"/>
      <c r="BB94" s="110"/>
      <c r="BC94" s="110"/>
      <c r="BD94" s="110"/>
      <c r="BE94" s="110"/>
      <c r="BF94" s="110"/>
      <c r="BG94" s="110"/>
      <c r="BH94" s="110"/>
      <c r="BI94" s="110"/>
      <c r="BJ94" s="110"/>
      <c r="BK94" s="110"/>
      <c r="BL94" s="110"/>
      <c r="BM94" s="110"/>
    </row>
    <row r="95" spans="2:41" ht="12.75">
      <c r="B95" s="203"/>
      <c r="C95" s="490">
        <f t="shared" si="18"/>
      </c>
      <c r="D95" s="208"/>
      <c r="E95" s="639"/>
      <c r="F95" s="630">
        <f t="shared" si="19"/>
      </c>
      <c r="G95" s="316">
        <f t="shared" si="20"/>
      </c>
      <c r="H95" s="201"/>
      <c r="I95" s="319">
        <f t="shared" si="21"/>
      </c>
      <c r="J95" s="209"/>
      <c r="K95" s="202"/>
      <c r="L95" s="341">
        <f t="shared" si="22"/>
      </c>
      <c r="M95" s="191">
        <f t="shared" si="23"/>
      </c>
      <c r="N95" s="316">
        <f t="shared" si="24"/>
      </c>
      <c r="O95" s="343">
        <f t="shared" si="25"/>
      </c>
      <c r="P95" s="546"/>
      <c r="Q95" s="158"/>
      <c r="AH95" s="679" t="s">
        <v>169</v>
      </c>
      <c r="AI95" s="161" t="s">
        <v>169</v>
      </c>
      <c r="AJ95" s="163"/>
      <c r="AK95" s="164"/>
      <c r="AL95" s="163"/>
      <c r="AM95" s="164"/>
      <c r="AN95" s="165"/>
      <c r="AO95" s="166"/>
    </row>
    <row r="96" spans="2:41" ht="12.75">
      <c r="B96" s="203"/>
      <c r="C96" s="490">
        <f t="shared" si="18"/>
      </c>
      <c r="D96" s="208"/>
      <c r="E96" s="639"/>
      <c r="F96" s="630">
        <f t="shared" si="19"/>
      </c>
      <c r="G96" s="316">
        <f t="shared" si="20"/>
      </c>
      <c r="H96" s="201"/>
      <c r="I96" s="319">
        <f t="shared" si="21"/>
      </c>
      <c r="J96" s="209"/>
      <c r="K96" s="202"/>
      <c r="L96" s="341">
        <f t="shared" si="22"/>
      </c>
      <c r="M96" s="191">
        <f t="shared" si="23"/>
      </c>
      <c r="N96" s="316">
        <f t="shared" si="24"/>
      </c>
      <c r="O96" s="343">
        <f t="shared" si="25"/>
      </c>
      <c r="P96" s="546"/>
      <c r="Q96" s="158"/>
      <c r="AH96" s="679" t="s">
        <v>170</v>
      </c>
      <c r="AI96" s="161" t="s">
        <v>170</v>
      </c>
      <c r="AJ96" s="163"/>
      <c r="AK96" s="164"/>
      <c r="AL96" s="163"/>
      <c r="AM96" s="164"/>
      <c r="AN96" s="165"/>
      <c r="AO96" s="166"/>
    </row>
    <row r="97" spans="1:65" s="113" customFormat="1" ht="12.75">
      <c r="A97" s="78"/>
      <c r="B97" s="203"/>
      <c r="C97" s="490">
        <f t="shared" si="18"/>
      </c>
      <c r="D97" s="208"/>
      <c r="E97" s="639"/>
      <c r="F97" s="630">
        <f t="shared" si="19"/>
      </c>
      <c r="G97" s="316">
        <f t="shared" si="20"/>
      </c>
      <c r="H97" s="201"/>
      <c r="I97" s="319">
        <f t="shared" si="21"/>
      </c>
      <c r="J97" s="209"/>
      <c r="K97" s="202"/>
      <c r="L97" s="341">
        <f t="shared" si="22"/>
      </c>
      <c r="M97" s="191">
        <f t="shared" si="23"/>
      </c>
      <c r="N97" s="316">
        <f t="shared" si="24"/>
      </c>
      <c r="O97" s="343">
        <f t="shared" si="25"/>
      </c>
      <c r="P97" s="546"/>
      <c r="Q97" s="158"/>
      <c r="R97" s="78"/>
      <c r="S97" s="78"/>
      <c r="T97" s="78"/>
      <c r="U97" s="78"/>
      <c r="V97" s="78"/>
      <c r="W97" s="78"/>
      <c r="X97" s="78"/>
      <c r="Y97" s="78"/>
      <c r="Z97" s="78"/>
      <c r="AA97" s="77"/>
      <c r="AB97" s="77"/>
      <c r="AC97" s="77"/>
      <c r="AD97" s="77"/>
      <c r="AE97" s="77"/>
      <c r="AF97" s="77"/>
      <c r="AG97" s="80"/>
      <c r="AH97" s="679" t="s">
        <v>163</v>
      </c>
      <c r="AI97" s="161" t="s">
        <v>163</v>
      </c>
      <c r="AJ97" s="163"/>
      <c r="AK97" s="164"/>
      <c r="AL97" s="163"/>
      <c r="AM97" s="164"/>
      <c r="AN97" s="165"/>
      <c r="AO97" s="166"/>
      <c r="AP97" s="80"/>
      <c r="AQ97" s="80"/>
      <c r="AR97" s="80"/>
      <c r="AS97" s="110"/>
      <c r="AT97" s="110"/>
      <c r="AU97" s="110"/>
      <c r="AV97" s="110"/>
      <c r="AW97" s="110"/>
      <c r="AX97" s="110"/>
      <c r="AY97" s="110"/>
      <c r="AZ97" s="110"/>
      <c r="BA97" s="110"/>
      <c r="BB97" s="110"/>
      <c r="BC97" s="110"/>
      <c r="BD97" s="110"/>
      <c r="BE97" s="110"/>
      <c r="BF97" s="110"/>
      <c r="BG97" s="110"/>
      <c r="BH97" s="110"/>
      <c r="BI97" s="110"/>
      <c r="BJ97" s="110"/>
      <c r="BK97" s="110"/>
      <c r="BL97" s="110"/>
      <c r="BM97" s="110"/>
    </row>
    <row r="98" spans="2:41" ht="13.5" thickBot="1">
      <c r="B98" s="552"/>
      <c r="C98" s="494">
        <f t="shared" si="18"/>
      </c>
      <c r="D98" s="211"/>
      <c r="E98" s="640"/>
      <c r="F98" s="631">
        <f t="shared" si="19"/>
      </c>
      <c r="G98" s="317">
        <f t="shared" si="20"/>
      </c>
      <c r="H98" s="205"/>
      <c r="I98" s="320">
        <f t="shared" si="21"/>
      </c>
      <c r="J98" s="212"/>
      <c r="K98" s="206"/>
      <c r="L98" s="342">
        <f t="shared" si="22"/>
      </c>
      <c r="M98" s="193">
        <f t="shared" si="23"/>
      </c>
      <c r="N98" s="317">
        <f t="shared" si="24"/>
      </c>
      <c r="O98" s="344">
        <f t="shared" si="25"/>
      </c>
      <c r="P98" s="547"/>
      <c r="Q98" s="369"/>
      <c r="AH98" s="679" t="s">
        <v>164</v>
      </c>
      <c r="AI98" s="161" t="s">
        <v>164</v>
      </c>
      <c r="AJ98" s="163"/>
      <c r="AK98" s="164"/>
      <c r="AL98" s="163"/>
      <c r="AM98" s="164"/>
      <c r="AN98" s="165"/>
      <c r="AO98" s="166"/>
    </row>
    <row r="99" spans="2:41" ht="13.5" customHeight="1" thickBot="1">
      <c r="B99" s="497"/>
      <c r="C99" s="170"/>
      <c r="D99" s="553" t="s">
        <v>111</v>
      </c>
      <c r="E99" s="554">
        <f>SUM(E84:E98)</f>
        <v>0.77</v>
      </c>
      <c r="F99" s="171">
        <f>IF($E$99&lt;&gt;$L$45,"ERROR - Total length of features enhancement must equal total length of features to be enhanced above","")</f>
      </c>
      <c r="G99" s="514"/>
      <c r="H99" s="514"/>
      <c r="I99" s="514"/>
      <c r="J99" s="514"/>
      <c r="K99" s="514"/>
      <c r="L99" s="555"/>
      <c r="M99" s="213"/>
      <c r="N99" s="348" t="s">
        <v>213</v>
      </c>
      <c r="O99" s="556">
        <f>'Linear trading down correction'!J86</f>
        <v>0</v>
      </c>
      <c r="P99" s="367"/>
      <c r="Q99" s="135"/>
      <c r="AA99" s="78"/>
      <c r="AB99" s="78"/>
      <c r="AC99" s="78"/>
      <c r="AD99" s="78"/>
      <c r="AE99" s="78"/>
      <c r="AF99" s="78"/>
      <c r="AG99" s="110"/>
      <c r="AH99" s="679" t="s">
        <v>165</v>
      </c>
      <c r="AI99" s="161" t="s">
        <v>165</v>
      </c>
      <c r="AJ99" s="163"/>
      <c r="AK99" s="164"/>
      <c r="AL99" s="163"/>
      <c r="AM99" s="164"/>
      <c r="AN99" s="165"/>
      <c r="AO99" s="166"/>
    </row>
    <row r="100" spans="2:41" ht="12.75" customHeight="1" thickBot="1">
      <c r="B100" s="557"/>
      <c r="C100" s="182"/>
      <c r="D100" s="558"/>
      <c r="E100" s="558"/>
      <c r="F100" s="559">
        <f>IF(($E$99&gt;0)*AND(SUM($J$84:$J$98)&lt;&gt;$M$45),"ERROR - Please enter respective existing values for features to be enhanced","")</f>
      </c>
      <c r="G100" s="182"/>
      <c r="H100" s="182"/>
      <c r="I100" s="182"/>
      <c r="J100" s="558"/>
      <c r="K100" s="558"/>
      <c r="L100" s="560"/>
      <c r="M100" s="561"/>
      <c r="N100" s="562" t="s">
        <v>252</v>
      </c>
      <c r="O100" s="563">
        <f>SUM(O67:O99)</f>
        <v>6.957142857142857</v>
      </c>
      <c r="P100" s="181"/>
      <c r="Q100" s="361"/>
      <c r="AH100" s="679" t="s">
        <v>166</v>
      </c>
      <c r="AI100" s="161" t="s">
        <v>166</v>
      </c>
      <c r="AJ100" s="163"/>
      <c r="AK100" s="164"/>
      <c r="AL100" s="163"/>
      <c r="AM100" s="164"/>
      <c r="AN100" s="163"/>
      <c r="AO100" s="164"/>
    </row>
    <row r="101" spans="2:41" ht="13.5" thickBot="1">
      <c r="B101" s="186"/>
      <c r="C101" s="115"/>
      <c r="D101" s="115"/>
      <c r="E101" s="115"/>
      <c r="F101" s="115"/>
      <c r="G101" s="115"/>
      <c r="H101" s="115"/>
      <c r="I101" s="115"/>
      <c r="J101" s="483"/>
      <c r="K101" s="483"/>
      <c r="L101" s="564"/>
      <c r="M101" s="558"/>
      <c r="N101" s="565"/>
      <c r="O101" s="566" t="s">
        <v>260</v>
      </c>
      <c r="P101" s="357"/>
      <c r="Q101" s="77"/>
      <c r="AH101" s="679" t="s">
        <v>167</v>
      </c>
      <c r="AI101" s="161" t="s">
        <v>167</v>
      </c>
      <c r="AJ101" s="163"/>
      <c r="AK101" s="164"/>
      <c r="AL101" s="163"/>
      <c r="AM101" s="164"/>
      <c r="AN101" s="163"/>
      <c r="AO101" s="164"/>
    </row>
    <row r="102" spans="2:41" ht="13.5" thickBot="1">
      <c r="B102" s="186"/>
      <c r="C102" s="115"/>
      <c r="D102" s="115"/>
      <c r="E102" s="115"/>
      <c r="F102" s="115"/>
      <c r="G102" s="115"/>
      <c r="H102" s="483"/>
      <c r="I102" s="483"/>
      <c r="J102" s="483"/>
      <c r="K102" s="483"/>
      <c r="L102" s="524"/>
      <c r="M102" s="568"/>
      <c r="N102" s="569" t="s">
        <v>259</v>
      </c>
      <c r="O102" s="570">
        <f>(O100-O61)</f>
        <v>5.137142857142857</v>
      </c>
      <c r="P102" s="77" t="str">
        <f>IF($O$102&lt;0,"Loss",IF($O$102&gt;0,"Gain",""))</f>
        <v>Gain</v>
      </c>
      <c r="Q102" s="78"/>
      <c r="AH102" s="679" t="s">
        <v>188</v>
      </c>
      <c r="AI102" s="161" t="s">
        <v>188</v>
      </c>
      <c r="AJ102" s="163"/>
      <c r="AK102" s="164"/>
      <c r="AL102" s="163"/>
      <c r="AM102" s="164"/>
      <c r="AN102" s="165"/>
      <c r="AO102" s="166"/>
    </row>
    <row r="103" spans="2:41" ht="13.5" thickBot="1">
      <c r="B103" s="186"/>
      <c r="C103" s="115"/>
      <c r="D103" s="483"/>
      <c r="E103" s="483"/>
      <c r="F103" s="483"/>
      <c r="G103" s="483"/>
      <c r="H103" s="483"/>
      <c r="I103" s="483"/>
      <c r="J103" s="483"/>
      <c r="K103" s="483"/>
      <c r="L103" s="571"/>
      <c r="M103" s="572"/>
      <c r="N103" s="573" t="s">
        <v>253</v>
      </c>
      <c r="O103" s="574">
        <f>IF(O102&lt;0,-(100/O61)*O102,"")</f>
      </c>
      <c r="P103" s="358"/>
      <c r="Q103" s="77"/>
      <c r="AH103" s="679" t="s">
        <v>189</v>
      </c>
      <c r="AI103" s="161" t="s">
        <v>189</v>
      </c>
      <c r="AJ103" s="163"/>
      <c r="AK103" s="164"/>
      <c r="AL103" s="163"/>
      <c r="AM103" s="164"/>
      <c r="AN103" s="165"/>
      <c r="AO103" s="166"/>
    </row>
    <row r="104" spans="2:41" ht="13.5" thickBot="1">
      <c r="B104" s="105"/>
      <c r="C104" s="77"/>
      <c r="D104" s="78"/>
      <c r="E104" s="78"/>
      <c r="F104" s="78"/>
      <c r="G104" s="78"/>
      <c r="H104" s="78"/>
      <c r="I104" s="78"/>
      <c r="J104" s="78"/>
      <c r="K104" s="78"/>
      <c r="L104" s="78"/>
      <c r="M104" s="78"/>
      <c r="N104" s="78"/>
      <c r="O104" s="77"/>
      <c r="P104" s="77"/>
      <c r="Q104" s="78"/>
      <c r="AH104" s="679" t="s">
        <v>190</v>
      </c>
      <c r="AI104" s="161" t="s">
        <v>190</v>
      </c>
      <c r="AJ104" s="163"/>
      <c r="AK104" s="164"/>
      <c r="AL104" s="163"/>
      <c r="AM104" s="164"/>
      <c r="AN104" s="163"/>
      <c r="AO104" s="164"/>
    </row>
    <row r="105" spans="2:41" ht="13.5" thickBot="1">
      <c r="B105" s="105"/>
      <c r="C105" s="293" t="s">
        <v>5</v>
      </c>
      <c r="D105" s="294"/>
      <c r="E105" s="78"/>
      <c r="F105" s="77"/>
      <c r="G105" s="77"/>
      <c r="H105" s="78"/>
      <c r="I105" s="78"/>
      <c r="J105" s="78"/>
      <c r="K105" s="78"/>
      <c r="L105" s="78"/>
      <c r="M105" s="78"/>
      <c r="N105" s="78"/>
      <c r="O105" s="78"/>
      <c r="P105" s="78"/>
      <c r="Q105" s="78"/>
      <c r="AH105" s="679" t="s">
        <v>138</v>
      </c>
      <c r="AI105" s="161" t="s">
        <v>138</v>
      </c>
      <c r="AJ105" s="163"/>
      <c r="AK105" s="164"/>
      <c r="AL105" s="163"/>
      <c r="AM105" s="164"/>
      <c r="AN105" s="165"/>
      <c r="AO105" s="166"/>
    </row>
    <row r="106" spans="2:41" ht="12.75">
      <c r="B106" s="105"/>
      <c r="C106" s="295"/>
      <c r="D106" s="296" t="s">
        <v>81</v>
      </c>
      <c r="E106" s="78"/>
      <c r="F106" s="77"/>
      <c r="G106" s="77"/>
      <c r="H106" s="78"/>
      <c r="I106" s="78"/>
      <c r="J106" s="78"/>
      <c r="K106" s="78"/>
      <c r="L106" s="78"/>
      <c r="M106" s="78"/>
      <c r="N106" s="78"/>
      <c r="O106" s="78"/>
      <c r="P106" s="78"/>
      <c r="Q106" s="78"/>
      <c r="AH106" s="679" t="s">
        <v>137</v>
      </c>
      <c r="AI106" s="161" t="s">
        <v>137</v>
      </c>
      <c r="AJ106" s="163"/>
      <c r="AK106" s="164"/>
      <c r="AL106" s="163"/>
      <c r="AM106" s="164"/>
      <c r="AN106" s="165"/>
      <c r="AO106" s="166"/>
    </row>
    <row r="107" spans="2:41" ht="12.75">
      <c r="B107" s="105"/>
      <c r="C107" s="327"/>
      <c r="D107" s="298" t="s">
        <v>74</v>
      </c>
      <c r="E107" s="78"/>
      <c r="F107" s="77"/>
      <c r="G107" s="77"/>
      <c r="H107" s="78"/>
      <c r="I107" s="78"/>
      <c r="J107" s="78"/>
      <c r="K107" s="78"/>
      <c r="L107" s="78"/>
      <c r="M107" s="78"/>
      <c r="N107" s="78"/>
      <c r="O107" s="78"/>
      <c r="P107" s="78"/>
      <c r="Q107" s="78"/>
      <c r="AH107" s="679" t="s">
        <v>329</v>
      </c>
      <c r="AI107" s="161" t="s">
        <v>140</v>
      </c>
      <c r="AJ107" s="163"/>
      <c r="AK107" s="164"/>
      <c r="AL107" s="163"/>
      <c r="AM107" s="164"/>
      <c r="AN107" s="165"/>
      <c r="AO107" s="166"/>
    </row>
    <row r="108" spans="2:41" ht="13.5" thickBot="1">
      <c r="B108" s="105"/>
      <c r="C108" s="328"/>
      <c r="D108" s="298" t="s">
        <v>122</v>
      </c>
      <c r="E108" s="78"/>
      <c r="F108" s="77"/>
      <c r="G108" s="77"/>
      <c r="H108" s="78"/>
      <c r="I108" s="78"/>
      <c r="J108" s="78"/>
      <c r="K108" s="78"/>
      <c r="L108" s="78"/>
      <c r="M108" s="78"/>
      <c r="N108" s="78"/>
      <c r="O108" s="78"/>
      <c r="P108" s="78"/>
      <c r="Q108" s="78"/>
      <c r="AH108" s="679" t="s">
        <v>134</v>
      </c>
      <c r="AI108" s="682" t="s">
        <v>327</v>
      </c>
      <c r="AJ108" s="163"/>
      <c r="AK108" s="164"/>
      <c r="AL108" s="163"/>
      <c r="AM108" s="164"/>
      <c r="AN108" s="165"/>
      <c r="AO108" s="166"/>
    </row>
    <row r="109" spans="2:41" ht="12.75">
      <c r="B109" s="105"/>
      <c r="C109" s="329"/>
      <c r="D109" s="298" t="s">
        <v>7</v>
      </c>
      <c r="E109" s="78"/>
      <c r="F109" s="77"/>
      <c r="G109" s="77"/>
      <c r="H109" s="78"/>
      <c r="I109" s="78"/>
      <c r="J109" s="78"/>
      <c r="K109" s="78"/>
      <c r="L109" s="78"/>
      <c r="M109" s="78"/>
      <c r="N109" s="78"/>
      <c r="O109" s="78"/>
      <c r="P109" s="78"/>
      <c r="Q109" s="78"/>
      <c r="AH109" s="161" t="s">
        <v>135</v>
      </c>
      <c r="AI109" s="683"/>
      <c r="AJ109" s="163"/>
      <c r="AK109" s="164"/>
      <c r="AL109" s="163"/>
      <c r="AM109" s="164"/>
      <c r="AN109" s="165"/>
      <c r="AO109" s="166"/>
    </row>
    <row r="110" spans="2:41" ht="13.5" thickBot="1">
      <c r="B110" s="105"/>
      <c r="C110" s="330"/>
      <c r="D110" s="298" t="s">
        <v>73</v>
      </c>
      <c r="E110" s="78"/>
      <c r="F110" s="78"/>
      <c r="G110" s="78"/>
      <c r="H110" s="78"/>
      <c r="I110" s="78"/>
      <c r="J110" s="78"/>
      <c r="K110" s="78"/>
      <c r="L110" s="78"/>
      <c r="M110" s="78"/>
      <c r="N110" s="78"/>
      <c r="O110" s="78"/>
      <c r="P110" s="78"/>
      <c r="Q110" s="78"/>
      <c r="AH110" s="161" t="s">
        <v>139</v>
      </c>
      <c r="AI110" s="684"/>
      <c r="AJ110" s="163"/>
      <c r="AK110" s="164"/>
      <c r="AL110" s="163"/>
      <c r="AM110" s="164"/>
      <c r="AN110" s="165"/>
      <c r="AO110" s="166"/>
    </row>
    <row r="111" spans="2:41" ht="12.75">
      <c r="B111" s="77"/>
      <c r="C111" s="349" t="s">
        <v>105</v>
      </c>
      <c r="D111" s="767" t="s">
        <v>8</v>
      </c>
      <c r="E111" s="306"/>
      <c r="F111" s="307" t="s">
        <v>82</v>
      </c>
      <c r="G111" s="184"/>
      <c r="H111" s="78"/>
      <c r="I111" s="78"/>
      <c r="J111" s="78"/>
      <c r="K111" s="78"/>
      <c r="L111" s="78"/>
      <c r="M111" s="78"/>
      <c r="N111" s="78"/>
      <c r="O111" s="78"/>
      <c r="P111" s="78"/>
      <c r="Q111" s="78"/>
      <c r="AH111" s="161" t="s">
        <v>140</v>
      </c>
      <c r="AI111" s="684"/>
      <c r="AJ111" s="163"/>
      <c r="AK111" s="164"/>
      <c r="AL111" s="163"/>
      <c r="AM111" s="164"/>
      <c r="AN111" s="165"/>
      <c r="AO111" s="166"/>
    </row>
    <row r="112" spans="2:41" ht="13.5" thickBot="1">
      <c r="B112" s="77"/>
      <c r="C112" s="350"/>
      <c r="D112" s="768"/>
      <c r="E112" s="308"/>
      <c r="F112" s="309" t="s">
        <v>83</v>
      </c>
      <c r="G112" s="185"/>
      <c r="H112" s="78"/>
      <c r="I112" s="78"/>
      <c r="J112" s="78"/>
      <c r="K112" s="78"/>
      <c r="L112" s="78"/>
      <c r="M112" s="78"/>
      <c r="N112" s="78"/>
      <c r="O112" s="78"/>
      <c r="P112" s="78"/>
      <c r="Q112" s="78"/>
      <c r="AH112" s="676" t="s">
        <v>327</v>
      </c>
      <c r="AI112" s="685"/>
      <c r="AJ112" s="163"/>
      <c r="AK112" s="164"/>
      <c r="AL112" s="163"/>
      <c r="AM112" s="164"/>
      <c r="AN112" s="165"/>
      <c r="AO112" s="166"/>
    </row>
    <row r="113" spans="2:41" ht="13.5" thickBot="1">
      <c r="B113" s="77"/>
      <c r="C113" s="186" t="s">
        <v>105</v>
      </c>
      <c r="D113" s="78"/>
      <c r="E113" s="78"/>
      <c r="F113" s="78"/>
      <c r="G113" s="78"/>
      <c r="H113" s="78"/>
      <c r="I113" s="78"/>
      <c r="J113" s="78"/>
      <c r="K113" s="78"/>
      <c r="L113" s="78"/>
      <c r="M113" s="78"/>
      <c r="N113" s="78"/>
      <c r="O113" s="78"/>
      <c r="P113" s="78"/>
      <c r="Q113" s="78"/>
      <c r="AH113" s="670" t="s">
        <v>69</v>
      </c>
      <c r="AI113" s="670" t="s">
        <v>69</v>
      </c>
      <c r="AJ113" s="163"/>
      <c r="AK113" s="164"/>
      <c r="AL113" s="163"/>
      <c r="AM113" s="164"/>
      <c r="AN113" s="163"/>
      <c r="AO113" s="164"/>
    </row>
    <row r="114" spans="2:41" ht="12.75">
      <c r="B114" s="77"/>
      <c r="C114" s="105"/>
      <c r="D114" s="78"/>
      <c r="E114" s="78"/>
      <c r="F114" s="78"/>
      <c r="G114" s="78"/>
      <c r="H114" s="78"/>
      <c r="I114" s="78"/>
      <c r="J114" s="78"/>
      <c r="K114" s="78"/>
      <c r="L114" s="78"/>
      <c r="M114" s="78"/>
      <c r="N114" s="78"/>
      <c r="O114" s="78"/>
      <c r="P114" s="78"/>
      <c r="Q114" s="78"/>
      <c r="AH114" s="160" t="s">
        <v>185</v>
      </c>
      <c r="AI114" s="160" t="s">
        <v>185</v>
      </c>
      <c r="AJ114" s="163"/>
      <c r="AK114" s="164"/>
      <c r="AL114" s="163"/>
      <c r="AM114" s="164"/>
      <c r="AN114" s="165"/>
      <c r="AO114" s="166"/>
    </row>
    <row r="115" spans="2:41" ht="12.75">
      <c r="B115" s="77"/>
      <c r="C115" s="77"/>
      <c r="D115" s="78"/>
      <c r="E115" s="78"/>
      <c r="F115" s="78"/>
      <c r="G115" s="78"/>
      <c r="H115" s="78"/>
      <c r="I115" s="78"/>
      <c r="J115" s="78"/>
      <c r="K115" s="78"/>
      <c r="L115" s="78"/>
      <c r="M115" s="78"/>
      <c r="N115" s="78"/>
      <c r="O115" s="78"/>
      <c r="P115" s="78"/>
      <c r="Q115" s="78"/>
      <c r="AH115" s="161" t="s">
        <v>184</v>
      </c>
      <c r="AI115" s="161" t="s">
        <v>184</v>
      </c>
      <c r="AJ115" s="163"/>
      <c r="AK115" s="164"/>
      <c r="AL115" s="163"/>
      <c r="AM115" s="164"/>
      <c r="AN115" s="165"/>
      <c r="AO115" s="166"/>
    </row>
    <row r="116" spans="2:41" ht="12.75">
      <c r="B116" s="77"/>
      <c r="C116" s="77"/>
      <c r="D116" s="78"/>
      <c r="E116" s="78"/>
      <c r="F116" s="78"/>
      <c r="G116" s="78"/>
      <c r="H116" s="78"/>
      <c r="I116" s="78"/>
      <c r="J116" s="78"/>
      <c r="K116" s="78"/>
      <c r="L116" s="78"/>
      <c r="M116" s="78"/>
      <c r="N116" s="78"/>
      <c r="O116" s="78"/>
      <c r="P116" s="78"/>
      <c r="Q116" s="78"/>
      <c r="AH116" s="161" t="s">
        <v>182</v>
      </c>
      <c r="AI116" s="161" t="s">
        <v>182</v>
      </c>
      <c r="AJ116" s="163"/>
      <c r="AK116" s="164"/>
      <c r="AL116" s="163"/>
      <c r="AM116" s="164"/>
      <c r="AN116" s="163"/>
      <c r="AO116" s="164"/>
    </row>
    <row r="117" spans="2:41" ht="12.75">
      <c r="B117" s="77"/>
      <c r="C117" s="77"/>
      <c r="D117" s="78"/>
      <c r="E117" s="78"/>
      <c r="F117" s="78"/>
      <c r="G117" s="78"/>
      <c r="H117" s="78"/>
      <c r="I117" s="78"/>
      <c r="J117" s="78"/>
      <c r="K117" s="78"/>
      <c r="L117" s="78"/>
      <c r="M117" s="78"/>
      <c r="N117" s="78"/>
      <c r="O117" s="78"/>
      <c r="P117" s="78"/>
      <c r="Q117" s="78"/>
      <c r="AH117" s="161" t="s">
        <v>181</v>
      </c>
      <c r="AI117" s="161" t="s">
        <v>181</v>
      </c>
      <c r="AJ117" s="163"/>
      <c r="AK117" s="164"/>
      <c r="AL117" s="163"/>
      <c r="AM117" s="164"/>
      <c r="AN117" s="165"/>
      <c r="AO117" s="166"/>
    </row>
    <row r="118" spans="2:41" ht="12.75">
      <c r="B118" s="77"/>
      <c r="C118" s="77"/>
      <c r="D118" s="78"/>
      <c r="E118" s="78"/>
      <c r="F118" s="78"/>
      <c r="G118" s="78"/>
      <c r="H118" s="78"/>
      <c r="I118" s="78"/>
      <c r="J118" s="78"/>
      <c r="K118" s="78"/>
      <c r="L118" s="78"/>
      <c r="M118" s="78"/>
      <c r="N118" s="78"/>
      <c r="O118" s="78"/>
      <c r="P118" s="78"/>
      <c r="Q118" s="78"/>
      <c r="AH118" s="161" t="s">
        <v>187</v>
      </c>
      <c r="AI118" s="161" t="s">
        <v>187</v>
      </c>
      <c r="AJ118" s="163"/>
      <c r="AK118" s="164"/>
      <c r="AL118" s="163"/>
      <c r="AM118" s="164"/>
      <c r="AN118" s="163"/>
      <c r="AO118" s="164"/>
    </row>
    <row r="119" spans="2:41" ht="12.75">
      <c r="B119" s="77"/>
      <c r="C119" s="77"/>
      <c r="D119" s="78"/>
      <c r="E119" s="78"/>
      <c r="F119" s="78"/>
      <c r="G119" s="78"/>
      <c r="H119" s="78"/>
      <c r="I119" s="78"/>
      <c r="J119" s="78"/>
      <c r="K119" s="78"/>
      <c r="L119" s="78"/>
      <c r="M119" s="78"/>
      <c r="N119" s="78"/>
      <c r="O119" s="78"/>
      <c r="P119" s="78"/>
      <c r="Q119" s="78"/>
      <c r="AH119" s="161" t="s">
        <v>186</v>
      </c>
      <c r="AI119" s="161" t="s">
        <v>186</v>
      </c>
      <c r="AJ119" s="163"/>
      <c r="AK119" s="164"/>
      <c r="AL119" s="163"/>
      <c r="AM119" s="164"/>
      <c r="AN119" s="163"/>
      <c r="AO119" s="164"/>
    </row>
    <row r="120" spans="2:41" ht="12.75">
      <c r="B120" s="77"/>
      <c r="C120" s="77"/>
      <c r="D120" s="78"/>
      <c r="E120" s="78"/>
      <c r="F120" s="78"/>
      <c r="G120" s="78"/>
      <c r="H120" s="78"/>
      <c r="I120" s="78"/>
      <c r="J120" s="78"/>
      <c r="K120" s="78"/>
      <c r="L120" s="78"/>
      <c r="M120" s="78"/>
      <c r="N120" s="78"/>
      <c r="O120" s="78"/>
      <c r="P120" s="78"/>
      <c r="Q120" s="78"/>
      <c r="AH120" s="161" t="s">
        <v>292</v>
      </c>
      <c r="AI120" s="161" t="s">
        <v>180</v>
      </c>
      <c r="AJ120" s="162"/>
      <c r="AK120" s="162"/>
      <c r="AL120" s="163"/>
      <c r="AM120" s="164"/>
      <c r="AN120" s="165"/>
      <c r="AO120" s="166"/>
    </row>
    <row r="121" spans="2:41" ht="12.75">
      <c r="B121" s="77"/>
      <c r="C121" s="77"/>
      <c r="D121" s="78"/>
      <c r="E121" s="78"/>
      <c r="F121" s="78"/>
      <c r="G121" s="78"/>
      <c r="H121" s="78"/>
      <c r="I121" s="78"/>
      <c r="J121" s="78"/>
      <c r="K121" s="78"/>
      <c r="L121" s="78"/>
      <c r="M121" s="78"/>
      <c r="N121" s="78"/>
      <c r="O121" s="78"/>
      <c r="P121" s="78"/>
      <c r="Q121" s="78"/>
      <c r="AH121" s="161" t="s">
        <v>180</v>
      </c>
      <c r="AI121" s="161" t="s">
        <v>179</v>
      </c>
      <c r="AJ121" s="163"/>
      <c r="AK121" s="164"/>
      <c r="AL121" s="163"/>
      <c r="AM121" s="164"/>
      <c r="AN121" s="165"/>
      <c r="AO121" s="166"/>
    </row>
    <row r="122" spans="2:41" ht="12.75">
      <c r="B122" s="77"/>
      <c r="C122" s="77"/>
      <c r="D122" s="78"/>
      <c r="E122" s="78"/>
      <c r="F122" s="78"/>
      <c r="G122" s="78"/>
      <c r="H122" s="78"/>
      <c r="I122" s="78"/>
      <c r="J122" s="78"/>
      <c r="K122" s="78"/>
      <c r="L122" s="78"/>
      <c r="M122" s="78"/>
      <c r="N122" s="78"/>
      <c r="O122" s="78"/>
      <c r="P122" s="78"/>
      <c r="Q122" s="78"/>
      <c r="AH122" s="161" t="s">
        <v>179</v>
      </c>
      <c r="AI122" s="161" t="s">
        <v>176</v>
      </c>
      <c r="AJ122" s="163"/>
      <c r="AK122" s="164"/>
      <c r="AL122" s="163"/>
      <c r="AM122" s="164"/>
      <c r="AN122" s="165"/>
      <c r="AO122" s="166"/>
    </row>
    <row r="123" spans="2:41" ht="12.75">
      <c r="B123" s="77"/>
      <c r="C123" s="77"/>
      <c r="D123" s="78"/>
      <c r="E123" s="78"/>
      <c r="F123" s="78"/>
      <c r="G123" s="78"/>
      <c r="H123" s="78"/>
      <c r="I123" s="78"/>
      <c r="J123" s="78"/>
      <c r="K123" s="78"/>
      <c r="L123" s="78"/>
      <c r="M123" s="78"/>
      <c r="N123" s="78"/>
      <c r="O123" s="78"/>
      <c r="P123" s="78"/>
      <c r="Q123" s="78"/>
      <c r="AH123" s="161" t="s">
        <v>176</v>
      </c>
      <c r="AI123" s="161" t="s">
        <v>175</v>
      </c>
      <c r="AJ123" s="163"/>
      <c r="AK123" s="164"/>
      <c r="AL123" s="163"/>
      <c r="AM123" s="164"/>
      <c r="AN123" s="165"/>
      <c r="AO123" s="166"/>
    </row>
    <row r="124" spans="2:41" ht="12.75">
      <c r="B124" s="77"/>
      <c r="C124" s="77"/>
      <c r="D124" s="78"/>
      <c r="E124" s="78"/>
      <c r="F124" s="78"/>
      <c r="G124" s="78"/>
      <c r="H124" s="78"/>
      <c r="I124" s="78"/>
      <c r="J124" s="78"/>
      <c r="K124" s="78"/>
      <c r="L124" s="78"/>
      <c r="M124" s="78"/>
      <c r="N124" s="78"/>
      <c r="O124" s="78"/>
      <c r="P124" s="78"/>
      <c r="Q124" s="78"/>
      <c r="AH124" s="161" t="s">
        <v>173</v>
      </c>
      <c r="AI124" s="161" t="s">
        <v>177</v>
      </c>
      <c r="AJ124" s="163"/>
      <c r="AK124" s="164"/>
      <c r="AL124" s="163"/>
      <c r="AM124" s="164"/>
      <c r="AN124" s="165"/>
      <c r="AO124" s="166"/>
    </row>
    <row r="125" spans="2:41" ht="12.75">
      <c r="B125" s="77"/>
      <c r="C125" s="77"/>
      <c r="D125" s="78"/>
      <c r="E125" s="78"/>
      <c r="F125" s="78"/>
      <c r="G125" s="78"/>
      <c r="H125" s="78"/>
      <c r="I125" s="78"/>
      <c r="J125" s="78"/>
      <c r="K125" s="78"/>
      <c r="L125" s="78"/>
      <c r="M125" s="78"/>
      <c r="N125" s="78"/>
      <c r="O125" s="78"/>
      <c r="P125" s="78"/>
      <c r="Q125" s="78"/>
      <c r="AH125" s="161" t="s">
        <v>174</v>
      </c>
      <c r="AI125" s="161" t="s">
        <v>178</v>
      </c>
      <c r="AJ125" s="163"/>
      <c r="AK125" s="164"/>
      <c r="AL125" s="163"/>
      <c r="AM125" s="164"/>
      <c r="AN125" s="165"/>
      <c r="AO125" s="166"/>
    </row>
    <row r="126" spans="2:41" ht="13.5" thickBot="1">
      <c r="B126" s="77"/>
      <c r="C126" s="77"/>
      <c r="D126" s="78"/>
      <c r="E126" s="78"/>
      <c r="F126" s="78"/>
      <c r="G126" s="78"/>
      <c r="H126" s="78"/>
      <c r="I126" s="78"/>
      <c r="J126" s="78"/>
      <c r="K126" s="78"/>
      <c r="L126" s="78"/>
      <c r="M126" s="78"/>
      <c r="N126" s="78"/>
      <c r="O126" s="78"/>
      <c r="P126" s="78"/>
      <c r="Q126" s="78"/>
      <c r="AH126" s="161" t="s">
        <v>175</v>
      </c>
      <c r="AI126" s="682" t="s">
        <v>328</v>
      </c>
      <c r="AJ126" s="163"/>
      <c r="AK126" s="164"/>
      <c r="AL126" s="163"/>
      <c r="AM126" s="164"/>
      <c r="AN126" s="165"/>
      <c r="AO126" s="166"/>
    </row>
    <row r="127" spans="2:41" ht="12.75">
      <c r="B127" s="77"/>
      <c r="C127" s="77"/>
      <c r="D127" s="78"/>
      <c r="E127" s="78"/>
      <c r="F127" s="78"/>
      <c r="G127" s="78"/>
      <c r="H127" s="78"/>
      <c r="I127" s="78"/>
      <c r="J127" s="78"/>
      <c r="K127" s="78"/>
      <c r="L127" s="78"/>
      <c r="M127" s="78"/>
      <c r="N127" s="78"/>
      <c r="O127" s="78"/>
      <c r="P127" s="78"/>
      <c r="Q127" s="78"/>
      <c r="AH127" s="161" t="s">
        <v>177</v>
      </c>
      <c r="AI127" s="683"/>
      <c r="AJ127" s="163"/>
      <c r="AK127" s="164"/>
      <c r="AL127" s="163"/>
      <c r="AM127" s="164"/>
      <c r="AN127" s="165"/>
      <c r="AO127" s="166"/>
    </row>
    <row r="128" spans="2:41" ht="12.75">
      <c r="B128" s="77"/>
      <c r="C128" s="77"/>
      <c r="D128" s="78"/>
      <c r="E128" s="78"/>
      <c r="F128" s="78"/>
      <c r="G128" s="78"/>
      <c r="H128" s="78"/>
      <c r="I128" s="78"/>
      <c r="J128" s="78"/>
      <c r="K128" s="78"/>
      <c r="L128" s="78"/>
      <c r="M128" s="78"/>
      <c r="N128" s="78"/>
      <c r="O128" s="78"/>
      <c r="P128" s="78"/>
      <c r="Q128" s="78"/>
      <c r="AH128" s="161" t="s">
        <v>178</v>
      </c>
      <c r="AI128" s="684"/>
      <c r="AJ128" s="163"/>
      <c r="AK128" s="164"/>
      <c r="AL128" s="163"/>
      <c r="AM128" s="164"/>
      <c r="AN128" s="165"/>
      <c r="AO128" s="166"/>
    </row>
    <row r="129" spans="2:41" ht="13.5" thickBot="1">
      <c r="B129" s="77"/>
      <c r="C129" s="77"/>
      <c r="D129" s="78"/>
      <c r="E129" s="78"/>
      <c r="F129" s="78"/>
      <c r="G129" s="78"/>
      <c r="H129" s="78"/>
      <c r="I129" s="78"/>
      <c r="J129" s="78"/>
      <c r="K129" s="78"/>
      <c r="L129" s="78"/>
      <c r="M129" s="78"/>
      <c r="N129" s="78"/>
      <c r="O129" s="78"/>
      <c r="P129" s="78"/>
      <c r="Q129" s="78"/>
      <c r="AH129" s="676" t="s">
        <v>328</v>
      </c>
      <c r="AI129" s="685"/>
      <c r="AJ129" s="163"/>
      <c r="AK129" s="164"/>
      <c r="AL129" s="163"/>
      <c r="AM129" s="164"/>
      <c r="AN129" s="165"/>
      <c r="AO129" s="166"/>
    </row>
    <row r="130" spans="2:41" ht="12.75">
      <c r="B130" s="77"/>
      <c r="C130" s="77"/>
      <c r="D130" s="78"/>
      <c r="E130" s="78"/>
      <c r="F130" s="78"/>
      <c r="G130" s="78"/>
      <c r="H130" s="78"/>
      <c r="I130" s="78"/>
      <c r="J130" s="78"/>
      <c r="K130" s="78"/>
      <c r="L130" s="78"/>
      <c r="M130" s="78"/>
      <c r="N130" s="78"/>
      <c r="O130" s="78"/>
      <c r="P130" s="78"/>
      <c r="Q130" s="78"/>
      <c r="AI130" s="162"/>
      <c r="AJ130" s="163"/>
      <c r="AK130" s="164"/>
      <c r="AL130" s="163"/>
      <c r="AM130" s="164"/>
      <c r="AN130" s="165"/>
      <c r="AO130" s="166"/>
    </row>
    <row r="131" spans="2:41" ht="12.75">
      <c r="B131" s="77"/>
      <c r="C131" s="77"/>
      <c r="D131" s="78"/>
      <c r="E131" s="78"/>
      <c r="F131" s="78"/>
      <c r="G131" s="78"/>
      <c r="H131" s="78"/>
      <c r="I131" s="78"/>
      <c r="J131" s="78"/>
      <c r="K131" s="78"/>
      <c r="L131" s="78"/>
      <c r="M131" s="78"/>
      <c r="N131" s="78"/>
      <c r="O131" s="78"/>
      <c r="P131" s="78"/>
      <c r="Q131" s="78"/>
      <c r="AI131" s="162"/>
      <c r="AJ131" s="163"/>
      <c r="AK131" s="164"/>
      <c r="AL131" s="163"/>
      <c r="AM131" s="164"/>
      <c r="AN131" s="165"/>
      <c r="AO131" s="166"/>
    </row>
    <row r="132" spans="2:41" ht="12.75">
      <c r="B132" s="77"/>
      <c r="C132" s="77"/>
      <c r="D132" s="78"/>
      <c r="E132" s="78"/>
      <c r="F132" s="78"/>
      <c r="G132" s="78"/>
      <c r="H132" s="78"/>
      <c r="I132" s="78"/>
      <c r="J132" s="78"/>
      <c r="K132" s="78"/>
      <c r="L132" s="78"/>
      <c r="M132" s="78"/>
      <c r="N132" s="78"/>
      <c r="O132" s="78"/>
      <c r="P132" s="78"/>
      <c r="Q132" s="78"/>
      <c r="AI132" s="84"/>
      <c r="AJ132" s="84"/>
      <c r="AK132" s="84"/>
      <c r="AL132" s="152"/>
      <c r="AM132" s="153"/>
      <c r="AN132" s="152"/>
      <c r="AO132" s="153"/>
    </row>
    <row r="133" spans="2:17" ht="12.75">
      <c r="B133" s="77"/>
      <c r="C133" s="77"/>
      <c r="D133" s="78"/>
      <c r="E133" s="78"/>
      <c r="F133" s="78"/>
      <c r="G133" s="78"/>
      <c r="H133" s="78"/>
      <c r="I133" s="78"/>
      <c r="J133" s="78"/>
      <c r="K133" s="78"/>
      <c r="L133" s="78"/>
      <c r="M133" s="78"/>
      <c r="N133" s="78"/>
      <c r="O133" s="78"/>
      <c r="P133" s="78"/>
      <c r="Q133" s="78"/>
    </row>
    <row r="134" spans="2:17" ht="12.75">
      <c r="B134" s="77"/>
      <c r="C134" s="77"/>
      <c r="D134" s="78"/>
      <c r="E134" s="78"/>
      <c r="F134" s="78"/>
      <c r="G134" s="78"/>
      <c r="H134" s="78"/>
      <c r="I134" s="78"/>
      <c r="J134" s="78"/>
      <c r="K134" s="78"/>
      <c r="L134" s="78"/>
      <c r="M134" s="78"/>
      <c r="N134" s="78"/>
      <c r="O134" s="78"/>
      <c r="P134" s="78"/>
      <c r="Q134" s="78"/>
    </row>
    <row r="135" spans="2:17" ht="12.75">
      <c r="B135" s="77"/>
      <c r="C135" s="77"/>
      <c r="D135" s="78"/>
      <c r="E135" s="78"/>
      <c r="F135" s="78"/>
      <c r="G135" s="78"/>
      <c r="H135" s="78"/>
      <c r="I135" s="78"/>
      <c r="J135" s="78"/>
      <c r="K135" s="78"/>
      <c r="L135" s="78"/>
      <c r="M135" s="78"/>
      <c r="N135" s="78"/>
      <c r="O135" s="78"/>
      <c r="P135" s="78"/>
      <c r="Q135" s="78"/>
    </row>
    <row r="136" spans="2:17" ht="12.75">
      <c r="B136" s="77"/>
      <c r="C136" s="77"/>
      <c r="D136" s="78"/>
      <c r="E136" s="78"/>
      <c r="F136" s="78"/>
      <c r="G136" s="78"/>
      <c r="H136" s="78"/>
      <c r="I136" s="78"/>
      <c r="J136" s="78"/>
      <c r="K136" s="78"/>
      <c r="L136" s="78"/>
      <c r="M136" s="78"/>
      <c r="N136" s="78"/>
      <c r="O136" s="78"/>
      <c r="P136" s="78"/>
      <c r="Q136" s="78"/>
    </row>
    <row r="137" spans="2:17" ht="12.75">
      <c r="B137" s="77"/>
      <c r="C137" s="77"/>
      <c r="D137" s="78"/>
      <c r="E137" s="78"/>
      <c r="F137" s="78"/>
      <c r="G137" s="78"/>
      <c r="H137" s="78"/>
      <c r="I137" s="78"/>
      <c r="J137" s="78"/>
      <c r="K137" s="78"/>
      <c r="L137" s="78"/>
      <c r="M137" s="78"/>
      <c r="N137" s="78"/>
      <c r="O137" s="78"/>
      <c r="P137" s="78"/>
      <c r="Q137" s="78"/>
    </row>
    <row r="138" spans="2:17" ht="12.75">
      <c r="B138" s="77"/>
      <c r="C138" s="77"/>
      <c r="D138" s="78"/>
      <c r="E138" s="78"/>
      <c r="F138" s="78"/>
      <c r="G138" s="78"/>
      <c r="H138" s="78"/>
      <c r="I138" s="78"/>
      <c r="J138" s="78"/>
      <c r="K138" s="78"/>
      <c r="L138" s="78"/>
      <c r="M138" s="78"/>
      <c r="N138" s="78"/>
      <c r="O138" s="78"/>
      <c r="P138" s="78"/>
      <c r="Q138" s="78"/>
    </row>
    <row r="139" spans="2:17" ht="12.75">
      <c r="B139" s="77"/>
      <c r="C139" s="77"/>
      <c r="D139" s="78"/>
      <c r="E139" s="78"/>
      <c r="F139" s="78"/>
      <c r="G139" s="78"/>
      <c r="H139" s="78"/>
      <c r="I139" s="78"/>
      <c r="J139" s="78"/>
      <c r="K139" s="78"/>
      <c r="L139" s="78"/>
      <c r="M139" s="78"/>
      <c r="N139" s="78"/>
      <c r="O139" s="78"/>
      <c r="P139" s="78"/>
      <c r="Q139" s="78"/>
    </row>
    <row r="140" spans="2:17" ht="12.75">
      <c r="B140" s="77"/>
      <c r="C140" s="77"/>
      <c r="D140" s="78"/>
      <c r="E140" s="78"/>
      <c r="F140" s="78"/>
      <c r="G140" s="78"/>
      <c r="H140" s="78"/>
      <c r="I140" s="78"/>
      <c r="J140" s="78"/>
      <c r="K140" s="78"/>
      <c r="L140" s="78"/>
      <c r="M140" s="78"/>
      <c r="N140" s="78"/>
      <c r="O140" s="78"/>
      <c r="P140" s="78"/>
      <c r="Q140" s="78"/>
    </row>
    <row r="141" spans="2:17" ht="12.75">
      <c r="B141" s="77"/>
      <c r="C141" s="77"/>
      <c r="D141" s="78"/>
      <c r="E141" s="78"/>
      <c r="F141" s="78"/>
      <c r="G141" s="78"/>
      <c r="H141" s="78"/>
      <c r="I141" s="78"/>
      <c r="J141" s="78"/>
      <c r="K141" s="78"/>
      <c r="L141" s="78"/>
      <c r="M141" s="78"/>
      <c r="N141" s="78"/>
      <c r="O141" s="78"/>
      <c r="P141" s="78"/>
      <c r="Q141" s="78"/>
    </row>
    <row r="142" spans="2:17" ht="12.75">
      <c r="B142" s="77"/>
      <c r="C142" s="77"/>
      <c r="D142" s="78"/>
      <c r="E142" s="78"/>
      <c r="F142" s="78"/>
      <c r="G142" s="78"/>
      <c r="H142" s="78"/>
      <c r="I142" s="78"/>
      <c r="J142" s="78"/>
      <c r="K142" s="78"/>
      <c r="L142" s="78"/>
      <c r="M142" s="78"/>
      <c r="N142" s="78"/>
      <c r="O142" s="78"/>
      <c r="P142" s="78"/>
      <c r="Q142" s="78"/>
    </row>
    <row r="143" spans="2:17" ht="12.75">
      <c r="B143" s="77"/>
      <c r="C143" s="77"/>
      <c r="D143" s="78"/>
      <c r="E143" s="78"/>
      <c r="F143" s="78"/>
      <c r="G143" s="78"/>
      <c r="H143" s="78"/>
      <c r="I143" s="78"/>
      <c r="J143" s="78"/>
      <c r="K143" s="78"/>
      <c r="L143" s="78"/>
      <c r="M143" s="78"/>
      <c r="N143" s="78"/>
      <c r="O143" s="78"/>
      <c r="P143" s="78"/>
      <c r="Q143" s="78"/>
    </row>
    <row r="144" spans="2:17" ht="12.75">
      <c r="B144" s="77"/>
      <c r="C144" s="77"/>
      <c r="D144" s="78"/>
      <c r="E144" s="78"/>
      <c r="F144" s="78"/>
      <c r="G144" s="78"/>
      <c r="H144" s="78"/>
      <c r="I144" s="78"/>
      <c r="J144" s="78"/>
      <c r="K144" s="78"/>
      <c r="L144" s="78"/>
      <c r="M144" s="78"/>
      <c r="N144" s="78"/>
      <c r="O144" s="78"/>
      <c r="P144" s="78"/>
      <c r="Q144" s="78"/>
    </row>
    <row r="145" spans="2:17" ht="12.75">
      <c r="B145" s="77"/>
      <c r="C145" s="77"/>
      <c r="D145" s="78"/>
      <c r="E145" s="78"/>
      <c r="F145" s="78"/>
      <c r="G145" s="78"/>
      <c r="H145" s="78"/>
      <c r="I145" s="78"/>
      <c r="J145" s="78"/>
      <c r="K145" s="78"/>
      <c r="L145" s="78"/>
      <c r="M145" s="78"/>
      <c r="N145" s="78"/>
      <c r="O145" s="78"/>
      <c r="P145" s="78"/>
      <c r="Q145" s="78"/>
    </row>
    <row r="146" spans="2:17" ht="12.75">
      <c r="B146" s="77"/>
      <c r="C146" s="77"/>
      <c r="D146" s="78"/>
      <c r="E146" s="78"/>
      <c r="F146" s="78"/>
      <c r="G146" s="78"/>
      <c r="H146" s="78"/>
      <c r="I146" s="78"/>
      <c r="J146" s="78"/>
      <c r="K146" s="78"/>
      <c r="L146" s="78"/>
      <c r="M146" s="78"/>
      <c r="N146" s="78"/>
      <c r="O146" s="78"/>
      <c r="P146" s="78"/>
      <c r="Q146" s="78"/>
    </row>
    <row r="147" spans="2:17" ht="12.75">
      <c r="B147" s="77"/>
      <c r="C147" s="77"/>
      <c r="D147" s="78"/>
      <c r="E147" s="78"/>
      <c r="F147" s="78"/>
      <c r="G147" s="78"/>
      <c r="H147" s="78"/>
      <c r="I147" s="78"/>
      <c r="J147" s="78"/>
      <c r="K147" s="78"/>
      <c r="L147" s="78"/>
      <c r="M147" s="78"/>
      <c r="N147" s="78"/>
      <c r="O147" s="78"/>
      <c r="P147" s="78"/>
      <c r="Q147" s="78"/>
    </row>
    <row r="148" spans="2:17" ht="12.75">
      <c r="B148" s="77"/>
      <c r="C148" s="77"/>
      <c r="D148" s="78"/>
      <c r="E148" s="78"/>
      <c r="F148" s="78"/>
      <c r="G148" s="78"/>
      <c r="H148" s="78"/>
      <c r="I148" s="78"/>
      <c r="J148" s="78"/>
      <c r="K148" s="78"/>
      <c r="L148" s="78"/>
      <c r="M148" s="78"/>
      <c r="N148" s="78"/>
      <c r="O148" s="78"/>
      <c r="P148" s="78"/>
      <c r="Q148" s="78"/>
    </row>
    <row r="149" spans="2:17" ht="12.75">
      <c r="B149" s="77"/>
      <c r="C149" s="77"/>
      <c r="D149" s="78"/>
      <c r="E149" s="78"/>
      <c r="F149" s="78"/>
      <c r="G149" s="78"/>
      <c r="H149" s="78"/>
      <c r="I149" s="78"/>
      <c r="J149" s="78"/>
      <c r="K149" s="78"/>
      <c r="L149" s="78"/>
      <c r="M149" s="78"/>
      <c r="N149" s="78"/>
      <c r="O149" s="78"/>
      <c r="P149" s="78"/>
      <c r="Q149" s="78"/>
    </row>
    <row r="150" spans="2:17" ht="12.75">
      <c r="B150" s="77"/>
      <c r="C150" s="77"/>
      <c r="D150" s="78"/>
      <c r="E150" s="78"/>
      <c r="F150" s="78"/>
      <c r="G150" s="78"/>
      <c r="H150" s="78"/>
      <c r="I150" s="78"/>
      <c r="J150" s="78"/>
      <c r="K150" s="78"/>
      <c r="L150" s="78"/>
      <c r="M150" s="78"/>
      <c r="N150" s="78"/>
      <c r="O150" s="78"/>
      <c r="P150" s="78"/>
      <c r="Q150" s="78"/>
    </row>
    <row r="151" spans="2:17" ht="12.75">
      <c r="B151" s="77"/>
      <c r="C151" s="77"/>
      <c r="D151" s="78"/>
      <c r="E151" s="78"/>
      <c r="F151" s="78"/>
      <c r="G151" s="78"/>
      <c r="H151" s="78"/>
      <c r="I151" s="78"/>
      <c r="J151" s="78"/>
      <c r="K151" s="78"/>
      <c r="L151" s="78"/>
      <c r="M151" s="78"/>
      <c r="N151" s="78"/>
      <c r="O151" s="78"/>
      <c r="P151" s="78"/>
      <c r="Q151" s="78"/>
    </row>
    <row r="152" spans="2:17" ht="12.75">
      <c r="B152" s="77"/>
      <c r="C152" s="77"/>
      <c r="D152" s="78"/>
      <c r="E152" s="78"/>
      <c r="F152" s="78"/>
      <c r="G152" s="78"/>
      <c r="H152" s="78"/>
      <c r="I152" s="78"/>
      <c r="J152" s="78"/>
      <c r="K152" s="78"/>
      <c r="L152" s="78"/>
      <c r="M152" s="78"/>
      <c r="N152" s="78"/>
      <c r="O152" s="78"/>
      <c r="P152" s="78"/>
      <c r="Q152" s="78"/>
    </row>
    <row r="153" spans="2:17" ht="12.75">
      <c r="B153" s="77"/>
      <c r="C153" s="77"/>
      <c r="D153" s="78"/>
      <c r="E153" s="78"/>
      <c r="F153" s="78"/>
      <c r="G153" s="78"/>
      <c r="H153" s="78"/>
      <c r="I153" s="78"/>
      <c r="J153" s="78"/>
      <c r="K153" s="78"/>
      <c r="L153" s="78"/>
      <c r="M153" s="78"/>
      <c r="N153" s="78"/>
      <c r="O153" s="78"/>
      <c r="P153" s="78"/>
      <c r="Q153" s="78"/>
    </row>
    <row r="154" spans="2:17" ht="12.75">
      <c r="B154" s="77"/>
      <c r="C154" s="77"/>
      <c r="D154" s="78"/>
      <c r="E154" s="78"/>
      <c r="F154" s="78"/>
      <c r="G154" s="78"/>
      <c r="H154" s="78"/>
      <c r="I154" s="78"/>
      <c r="J154" s="78"/>
      <c r="K154" s="78"/>
      <c r="L154" s="78"/>
      <c r="M154" s="78"/>
      <c r="N154" s="78"/>
      <c r="O154" s="78"/>
      <c r="P154" s="78"/>
      <c r="Q154" s="78"/>
    </row>
    <row r="155" spans="2:17" ht="12.75">
      <c r="B155" s="77"/>
      <c r="C155" s="77"/>
      <c r="D155" s="78"/>
      <c r="E155" s="78"/>
      <c r="F155" s="78"/>
      <c r="G155" s="78"/>
      <c r="H155" s="78"/>
      <c r="I155" s="78"/>
      <c r="J155" s="78"/>
      <c r="K155" s="78"/>
      <c r="L155" s="78"/>
      <c r="M155" s="78"/>
      <c r="N155" s="78"/>
      <c r="O155" s="78"/>
      <c r="P155" s="78"/>
      <c r="Q155" s="78"/>
    </row>
    <row r="156" spans="2:17" ht="12.75">
      <c r="B156" s="77"/>
      <c r="C156" s="77"/>
      <c r="D156" s="78"/>
      <c r="E156" s="78"/>
      <c r="F156" s="78"/>
      <c r="G156" s="78"/>
      <c r="H156" s="78"/>
      <c r="I156" s="78"/>
      <c r="J156" s="78"/>
      <c r="K156" s="78"/>
      <c r="L156" s="78"/>
      <c r="M156" s="78"/>
      <c r="N156" s="78"/>
      <c r="O156" s="78"/>
      <c r="P156" s="78"/>
      <c r="Q156" s="78"/>
    </row>
    <row r="157" spans="2:17" ht="12.75">
      <c r="B157" s="77"/>
      <c r="C157" s="77"/>
      <c r="D157" s="78"/>
      <c r="E157" s="78"/>
      <c r="F157" s="78"/>
      <c r="G157" s="78"/>
      <c r="H157" s="78"/>
      <c r="I157" s="78"/>
      <c r="J157" s="78"/>
      <c r="K157" s="78"/>
      <c r="L157" s="78"/>
      <c r="M157" s="78"/>
      <c r="N157" s="78"/>
      <c r="O157" s="78"/>
      <c r="P157" s="78"/>
      <c r="Q157" s="78"/>
    </row>
    <row r="158" spans="2:17" ht="12.75">
      <c r="B158" s="77"/>
      <c r="C158" s="77"/>
      <c r="D158" s="78"/>
      <c r="E158" s="78"/>
      <c r="F158" s="78"/>
      <c r="G158" s="78"/>
      <c r="H158" s="78"/>
      <c r="I158" s="78"/>
      <c r="J158" s="78"/>
      <c r="K158" s="78"/>
      <c r="L158" s="78"/>
      <c r="M158" s="78"/>
      <c r="N158" s="78"/>
      <c r="O158" s="78"/>
      <c r="P158" s="78"/>
      <c r="Q158" s="78"/>
    </row>
    <row r="159" spans="2:17" ht="12.75">
      <c r="B159" s="77"/>
      <c r="C159" s="77"/>
      <c r="D159" s="78"/>
      <c r="E159" s="78"/>
      <c r="F159" s="78"/>
      <c r="G159" s="78"/>
      <c r="H159" s="78"/>
      <c r="I159" s="78"/>
      <c r="J159" s="78"/>
      <c r="K159" s="78"/>
      <c r="L159" s="78"/>
      <c r="M159" s="78"/>
      <c r="N159" s="78"/>
      <c r="O159" s="78"/>
      <c r="P159" s="78"/>
      <c r="Q159" s="78"/>
    </row>
    <row r="160" spans="2:17" ht="12.75">
      <c r="B160" s="77"/>
      <c r="C160" s="77"/>
      <c r="D160" s="78"/>
      <c r="E160" s="78"/>
      <c r="F160" s="78"/>
      <c r="G160" s="78"/>
      <c r="H160" s="78"/>
      <c r="I160" s="78"/>
      <c r="J160" s="78"/>
      <c r="K160" s="78"/>
      <c r="L160" s="78"/>
      <c r="M160" s="78"/>
      <c r="N160" s="78"/>
      <c r="O160" s="78"/>
      <c r="P160" s="78"/>
      <c r="Q160" s="78"/>
    </row>
    <row r="161" spans="2:17" ht="12.75">
      <c r="B161" s="77"/>
      <c r="C161" s="77"/>
      <c r="D161" s="78"/>
      <c r="E161" s="78"/>
      <c r="F161" s="78"/>
      <c r="G161" s="78"/>
      <c r="H161" s="78"/>
      <c r="I161" s="78"/>
      <c r="J161" s="78"/>
      <c r="K161" s="78"/>
      <c r="L161" s="78"/>
      <c r="M161" s="78"/>
      <c r="N161" s="78"/>
      <c r="O161" s="78"/>
      <c r="P161" s="78"/>
      <c r="Q161" s="78"/>
    </row>
    <row r="162" spans="2:17" ht="12.75">
      <c r="B162" s="77"/>
      <c r="C162" s="77"/>
      <c r="D162" s="78"/>
      <c r="E162" s="78"/>
      <c r="F162" s="78"/>
      <c r="G162" s="78"/>
      <c r="H162" s="78"/>
      <c r="I162" s="78"/>
      <c r="J162" s="78"/>
      <c r="K162" s="78"/>
      <c r="L162" s="78"/>
      <c r="M162" s="78"/>
      <c r="N162" s="78"/>
      <c r="O162" s="78"/>
      <c r="P162" s="78"/>
      <c r="Q162" s="78"/>
    </row>
    <row r="163" spans="2:17" ht="12.75">
      <c r="B163" s="77"/>
      <c r="C163" s="77"/>
      <c r="D163" s="78"/>
      <c r="E163" s="78"/>
      <c r="F163" s="78"/>
      <c r="G163" s="78"/>
      <c r="H163" s="78"/>
      <c r="I163" s="78"/>
      <c r="J163" s="78"/>
      <c r="K163" s="78"/>
      <c r="L163" s="78"/>
      <c r="M163" s="78"/>
      <c r="N163" s="78"/>
      <c r="O163" s="78"/>
      <c r="P163" s="78"/>
      <c r="Q163" s="78"/>
    </row>
    <row r="164" spans="2:17" ht="12.75">
      <c r="B164" s="77"/>
      <c r="C164" s="77"/>
      <c r="D164" s="78"/>
      <c r="E164" s="78"/>
      <c r="F164" s="78"/>
      <c r="G164" s="78"/>
      <c r="H164" s="78"/>
      <c r="I164" s="78"/>
      <c r="J164" s="78"/>
      <c r="K164" s="78"/>
      <c r="L164" s="78"/>
      <c r="M164" s="78"/>
      <c r="N164" s="78"/>
      <c r="O164" s="78"/>
      <c r="P164" s="78"/>
      <c r="Q164" s="78"/>
    </row>
    <row r="165" spans="2:17" ht="12.75">
      <c r="B165" s="77"/>
      <c r="C165" s="77"/>
      <c r="D165" s="78"/>
      <c r="E165" s="78"/>
      <c r="F165" s="78"/>
      <c r="G165" s="78"/>
      <c r="H165" s="78"/>
      <c r="I165" s="78"/>
      <c r="J165" s="78"/>
      <c r="K165" s="78"/>
      <c r="L165" s="78"/>
      <c r="M165" s="78"/>
      <c r="N165" s="78"/>
      <c r="O165" s="78"/>
      <c r="P165" s="78"/>
      <c r="Q165" s="78"/>
    </row>
    <row r="166" spans="2:17" ht="12.75">
      <c r="B166" s="77"/>
      <c r="C166" s="77"/>
      <c r="D166" s="78"/>
      <c r="E166" s="78"/>
      <c r="F166" s="78"/>
      <c r="G166" s="78"/>
      <c r="H166" s="78"/>
      <c r="I166" s="78"/>
      <c r="J166" s="78"/>
      <c r="K166" s="78"/>
      <c r="L166" s="78"/>
      <c r="M166" s="78"/>
      <c r="N166" s="78"/>
      <c r="O166" s="78"/>
      <c r="P166" s="78"/>
      <c r="Q166" s="78"/>
    </row>
    <row r="167" spans="2:17" ht="12.75">
      <c r="B167" s="77"/>
      <c r="C167" s="77"/>
      <c r="D167" s="78"/>
      <c r="E167" s="78"/>
      <c r="F167" s="78"/>
      <c r="G167" s="78"/>
      <c r="H167" s="78"/>
      <c r="I167" s="78"/>
      <c r="J167" s="78"/>
      <c r="K167" s="78"/>
      <c r="L167" s="78"/>
      <c r="M167" s="78"/>
      <c r="N167" s="78"/>
      <c r="O167" s="78"/>
      <c r="P167" s="78"/>
      <c r="Q167" s="78"/>
    </row>
    <row r="168" spans="2:17" ht="12.75">
      <c r="B168" s="77"/>
      <c r="C168" s="77"/>
      <c r="D168" s="78"/>
      <c r="E168" s="78"/>
      <c r="F168" s="78"/>
      <c r="G168" s="78"/>
      <c r="H168" s="78"/>
      <c r="I168" s="78"/>
      <c r="J168" s="78"/>
      <c r="K168" s="78"/>
      <c r="L168" s="78"/>
      <c r="M168" s="78"/>
      <c r="N168" s="78"/>
      <c r="O168" s="78"/>
      <c r="P168" s="78"/>
      <c r="Q168" s="78"/>
    </row>
    <row r="169" spans="2:17" ht="12.75">
      <c r="B169" s="77"/>
      <c r="C169" s="77"/>
      <c r="D169" s="78"/>
      <c r="E169" s="78"/>
      <c r="F169" s="78"/>
      <c r="G169" s="78"/>
      <c r="H169" s="78"/>
      <c r="I169" s="78"/>
      <c r="J169" s="78"/>
      <c r="K169" s="78"/>
      <c r="L169" s="78"/>
      <c r="M169" s="78"/>
      <c r="N169" s="78"/>
      <c r="O169" s="78"/>
      <c r="P169" s="78"/>
      <c r="Q169" s="78"/>
    </row>
    <row r="170" spans="2:17" ht="12.75">
      <c r="B170" s="77"/>
      <c r="C170" s="77"/>
      <c r="D170" s="78"/>
      <c r="E170" s="78"/>
      <c r="F170" s="78"/>
      <c r="G170" s="78"/>
      <c r="H170" s="78"/>
      <c r="I170" s="78"/>
      <c r="J170" s="78"/>
      <c r="K170" s="78"/>
      <c r="L170" s="78"/>
      <c r="M170" s="78"/>
      <c r="N170" s="78"/>
      <c r="O170" s="78"/>
      <c r="P170" s="78"/>
      <c r="Q170" s="78"/>
    </row>
    <row r="171" spans="2:17" ht="12.75">
      <c r="B171" s="77"/>
      <c r="C171" s="77"/>
      <c r="D171" s="78"/>
      <c r="E171" s="78"/>
      <c r="F171" s="78"/>
      <c r="G171" s="78"/>
      <c r="H171" s="78"/>
      <c r="I171" s="78"/>
      <c r="J171" s="78"/>
      <c r="K171" s="78"/>
      <c r="L171" s="78"/>
      <c r="M171" s="78"/>
      <c r="N171" s="78"/>
      <c r="O171" s="78"/>
      <c r="P171" s="78"/>
      <c r="Q171" s="78"/>
    </row>
    <row r="172" spans="2:17" ht="12.75">
      <c r="B172" s="77"/>
      <c r="C172" s="77"/>
      <c r="D172" s="78"/>
      <c r="E172" s="78"/>
      <c r="F172" s="78"/>
      <c r="G172" s="78"/>
      <c r="H172" s="78"/>
      <c r="I172" s="78"/>
      <c r="J172" s="78"/>
      <c r="K172" s="78"/>
      <c r="L172" s="78"/>
      <c r="M172" s="78"/>
      <c r="N172" s="78"/>
      <c r="O172" s="78"/>
      <c r="P172" s="78"/>
      <c r="Q172" s="78"/>
    </row>
    <row r="173" spans="2:17" ht="12.75">
      <c r="B173" s="77"/>
      <c r="C173" s="77"/>
      <c r="D173" s="78"/>
      <c r="E173" s="78"/>
      <c r="F173" s="78"/>
      <c r="G173" s="78"/>
      <c r="H173" s="78"/>
      <c r="I173" s="78"/>
      <c r="J173" s="78"/>
      <c r="K173" s="78"/>
      <c r="L173" s="78"/>
      <c r="M173" s="78"/>
      <c r="N173" s="78"/>
      <c r="O173" s="78"/>
      <c r="P173" s="78"/>
      <c r="Q173" s="78"/>
    </row>
    <row r="174" spans="2:17" ht="12.75">
      <c r="B174" s="77"/>
      <c r="C174" s="77"/>
      <c r="D174" s="78"/>
      <c r="E174" s="78"/>
      <c r="F174" s="78"/>
      <c r="G174" s="78"/>
      <c r="H174" s="78"/>
      <c r="I174" s="78"/>
      <c r="J174" s="78"/>
      <c r="K174" s="78"/>
      <c r="L174" s="78"/>
      <c r="M174" s="78"/>
      <c r="N174" s="78"/>
      <c r="O174" s="78"/>
      <c r="P174" s="78"/>
      <c r="Q174" s="78"/>
    </row>
    <row r="175" spans="2:17" ht="12.75">
      <c r="B175" s="77"/>
      <c r="C175" s="77"/>
      <c r="D175" s="78"/>
      <c r="E175" s="78"/>
      <c r="F175" s="78"/>
      <c r="G175" s="78"/>
      <c r="H175" s="78"/>
      <c r="I175" s="78"/>
      <c r="J175" s="78"/>
      <c r="K175" s="78"/>
      <c r="L175" s="78"/>
      <c r="M175" s="78"/>
      <c r="N175" s="78"/>
      <c r="O175" s="78"/>
      <c r="P175" s="78"/>
      <c r="Q175" s="78"/>
    </row>
    <row r="176" spans="2:17" ht="12.75">
      <c r="B176" s="77"/>
      <c r="C176" s="77"/>
      <c r="D176" s="78"/>
      <c r="E176" s="78"/>
      <c r="F176" s="78"/>
      <c r="G176" s="78"/>
      <c r="H176" s="78"/>
      <c r="I176" s="78"/>
      <c r="J176" s="78"/>
      <c r="K176" s="78"/>
      <c r="L176" s="78"/>
      <c r="M176" s="78"/>
      <c r="N176" s="78"/>
      <c r="O176" s="78"/>
      <c r="P176" s="78"/>
      <c r="Q176" s="78"/>
    </row>
    <row r="177" spans="2:17" ht="12.75">
      <c r="B177" s="77"/>
      <c r="C177" s="77"/>
      <c r="D177" s="78"/>
      <c r="E177" s="78"/>
      <c r="F177" s="78"/>
      <c r="G177" s="78"/>
      <c r="H177" s="78"/>
      <c r="I177" s="78"/>
      <c r="J177" s="78"/>
      <c r="K177" s="78"/>
      <c r="L177" s="78"/>
      <c r="M177" s="78"/>
      <c r="N177" s="78"/>
      <c r="O177" s="78"/>
      <c r="P177" s="78"/>
      <c r="Q177" s="78"/>
    </row>
    <row r="178" spans="2:17" ht="12.75">
      <c r="B178" s="77"/>
      <c r="C178" s="77"/>
      <c r="D178" s="78"/>
      <c r="E178" s="78"/>
      <c r="F178" s="78"/>
      <c r="G178" s="78"/>
      <c r="H178" s="78"/>
      <c r="I178" s="78"/>
      <c r="J178" s="78"/>
      <c r="K178" s="78"/>
      <c r="L178" s="78"/>
      <c r="M178" s="78"/>
      <c r="N178" s="78"/>
      <c r="O178" s="78"/>
      <c r="P178" s="78"/>
      <c r="Q178" s="78"/>
    </row>
    <row r="179" spans="2:17" ht="12.75">
      <c r="B179" s="77"/>
      <c r="C179" s="77"/>
      <c r="D179" s="78"/>
      <c r="E179" s="78"/>
      <c r="F179" s="78"/>
      <c r="G179" s="78"/>
      <c r="H179" s="78"/>
      <c r="I179" s="78"/>
      <c r="J179" s="78"/>
      <c r="K179" s="78"/>
      <c r="L179" s="78"/>
      <c r="M179" s="78"/>
      <c r="N179" s="78"/>
      <c r="O179" s="78"/>
      <c r="P179" s="78"/>
      <c r="Q179" s="78"/>
    </row>
    <row r="180" spans="2:17" ht="12.75">
      <c r="B180" s="77"/>
      <c r="C180" s="77"/>
      <c r="D180" s="78"/>
      <c r="E180" s="78"/>
      <c r="F180" s="78"/>
      <c r="G180" s="78"/>
      <c r="H180" s="78"/>
      <c r="I180" s="78"/>
      <c r="J180" s="78"/>
      <c r="K180" s="78"/>
      <c r="L180" s="78"/>
      <c r="M180" s="78"/>
      <c r="N180" s="78"/>
      <c r="O180" s="78"/>
      <c r="P180" s="78"/>
      <c r="Q180" s="78"/>
    </row>
    <row r="181" spans="2:17" ht="12.75">
      <c r="B181" s="77"/>
      <c r="C181" s="77"/>
      <c r="D181" s="78"/>
      <c r="E181" s="78"/>
      <c r="F181" s="78"/>
      <c r="G181" s="78"/>
      <c r="H181" s="78"/>
      <c r="I181" s="78"/>
      <c r="J181" s="78"/>
      <c r="K181" s="78"/>
      <c r="L181" s="78"/>
      <c r="M181" s="78"/>
      <c r="N181" s="78"/>
      <c r="O181" s="78"/>
      <c r="P181" s="78"/>
      <c r="Q181" s="78"/>
    </row>
    <row r="182" spans="2:17" ht="12.75">
      <c r="B182" s="77"/>
      <c r="C182" s="77"/>
      <c r="D182" s="78"/>
      <c r="E182" s="78"/>
      <c r="F182" s="78"/>
      <c r="G182" s="78"/>
      <c r="H182" s="78"/>
      <c r="I182" s="78"/>
      <c r="J182" s="78"/>
      <c r="K182" s="78"/>
      <c r="L182" s="78"/>
      <c r="M182" s="78"/>
      <c r="N182" s="78"/>
      <c r="O182" s="78"/>
      <c r="P182" s="78"/>
      <c r="Q182" s="78"/>
    </row>
    <row r="183" spans="2:17" ht="12.75">
      <c r="B183" s="77"/>
      <c r="C183" s="77"/>
      <c r="D183" s="78"/>
      <c r="E183" s="78"/>
      <c r="F183" s="78"/>
      <c r="G183" s="78"/>
      <c r="H183" s="78"/>
      <c r="I183" s="78"/>
      <c r="J183" s="78"/>
      <c r="K183" s="78"/>
      <c r="L183" s="78"/>
      <c r="M183" s="78"/>
      <c r="N183" s="78"/>
      <c r="O183" s="78"/>
      <c r="P183" s="78"/>
      <c r="Q183" s="78"/>
    </row>
    <row r="184" spans="2:17" ht="12.75">
      <c r="B184" s="77"/>
      <c r="C184" s="77"/>
      <c r="D184" s="78"/>
      <c r="E184" s="78"/>
      <c r="F184" s="78"/>
      <c r="G184" s="78"/>
      <c r="H184" s="78"/>
      <c r="I184" s="78"/>
      <c r="J184" s="78"/>
      <c r="K184" s="78"/>
      <c r="L184" s="78"/>
      <c r="M184" s="78"/>
      <c r="N184" s="78"/>
      <c r="O184" s="78"/>
      <c r="P184" s="78"/>
      <c r="Q184" s="78"/>
    </row>
    <row r="185" spans="2:17" ht="12.75">
      <c r="B185" s="77"/>
      <c r="C185" s="77"/>
      <c r="D185" s="78"/>
      <c r="E185" s="78"/>
      <c r="F185" s="78"/>
      <c r="G185" s="78"/>
      <c r="H185" s="78"/>
      <c r="I185" s="78"/>
      <c r="J185" s="78"/>
      <c r="K185" s="78"/>
      <c r="L185" s="78"/>
      <c r="M185" s="78"/>
      <c r="N185" s="78"/>
      <c r="O185" s="78"/>
      <c r="P185" s="78"/>
      <c r="Q185" s="78"/>
    </row>
    <row r="186" spans="2:17" ht="12.75">
      <c r="B186" s="77"/>
      <c r="C186" s="77"/>
      <c r="D186" s="78"/>
      <c r="E186" s="78"/>
      <c r="F186" s="78"/>
      <c r="G186" s="78"/>
      <c r="H186" s="78"/>
      <c r="I186" s="78"/>
      <c r="J186" s="78"/>
      <c r="K186" s="78"/>
      <c r="L186" s="78"/>
      <c r="M186" s="78"/>
      <c r="N186" s="78"/>
      <c r="O186" s="78"/>
      <c r="P186" s="78"/>
      <c r="Q186" s="78"/>
    </row>
    <row r="187" spans="2:17" ht="12.75">
      <c r="B187" s="77"/>
      <c r="C187" s="77"/>
      <c r="D187" s="78"/>
      <c r="E187" s="78"/>
      <c r="F187" s="78"/>
      <c r="G187" s="78"/>
      <c r="H187" s="78"/>
      <c r="I187" s="78"/>
      <c r="J187" s="78"/>
      <c r="K187" s="78"/>
      <c r="L187" s="78"/>
      <c r="M187" s="78"/>
      <c r="N187" s="78"/>
      <c r="O187" s="78"/>
      <c r="P187" s="78"/>
      <c r="Q187" s="78"/>
    </row>
  </sheetData>
  <sheetProtection password="E252" sheet="1" formatRows="0"/>
  <mergeCells count="33">
    <mergeCell ref="AN2:AO2"/>
    <mergeCell ref="M4:O4"/>
    <mergeCell ref="M5:O5"/>
    <mergeCell ref="M8:O8"/>
    <mergeCell ref="M9:O9"/>
    <mergeCell ref="M6:O6"/>
    <mergeCell ref="M7:O7"/>
    <mergeCell ref="AJ2:AK2"/>
    <mergeCell ref="AL2:AM2"/>
    <mergeCell ref="K64:L64"/>
    <mergeCell ref="D2:H2"/>
    <mergeCell ref="M47:N47"/>
    <mergeCell ref="M64:N64"/>
    <mergeCell ref="H12:I12"/>
    <mergeCell ref="J12:K12"/>
    <mergeCell ref="L12:M12"/>
    <mergeCell ref="B50:B51"/>
    <mergeCell ref="B52:B53"/>
    <mergeCell ref="B54:B55"/>
    <mergeCell ref="J11:O11"/>
    <mergeCell ref="C12:E12"/>
    <mergeCell ref="F12:G12"/>
    <mergeCell ref="N12:O12"/>
    <mergeCell ref="B56:B57"/>
    <mergeCell ref="O64:O65"/>
    <mergeCell ref="D111:D112"/>
    <mergeCell ref="F6:I9"/>
    <mergeCell ref="B58:B59"/>
    <mergeCell ref="M61:N61"/>
    <mergeCell ref="C64:E64"/>
    <mergeCell ref="F64:G64"/>
    <mergeCell ref="H64:I64"/>
    <mergeCell ref="B49:C49"/>
  </mergeCells>
  <conditionalFormatting sqref="O102">
    <cfRule type="cellIs" priority="3" dxfId="1" operator="greaterThan">
      <formula>0</formula>
    </cfRule>
    <cfRule type="cellIs" priority="4" dxfId="0" operator="lessThan">
      <formula>0</formula>
    </cfRule>
  </conditionalFormatting>
  <dataValidations count="14">
    <dataValidation allowBlank="1" showInputMessage="1" showErrorMessage="1" error="Please do not alter the contents of these cells" sqref="P103"/>
    <dataValidation type="list" allowBlank="1" showInputMessage="1" showErrorMessage="1" prompt="Please select time till target condition reached from the list.&#10;&#10;Please round up" error="Please select an option from the drop-down list." sqref="K84:K98 K67:K81">
      <formula1>$AQ$18:$AQ$24</formula1>
    </dataValidation>
    <dataValidation type="list" allowBlank="1" showInputMessage="1" showErrorMessage="1" prompt="Please select target habitat condition from the list.&#10;" error="Please select an option from the drop-down list." sqref="H84:H98">
      <formula1>$AQ$13:$AQ$15</formula1>
    </dataValidation>
    <dataValidation type="list" allowBlank="1" showInputMessage="1" showErrorMessage="1" prompt="Please select current linear condition from the list.&#10;&#10;Using FEP guidance but also taking species richness into account or providing your reasoning where this is not suitable." sqref="H58 H50 H52 H54 H56">
      <formula1>$AQ$13:$AQ$15</formula1>
    </dataValidation>
    <dataValidation type="list" allowBlank="1" showInputMessage="1" showErrorMessage="1" prompt="Please select anticipated linear condition after indirect impact from the list.&#10;&#10;Using FEP guidance but also taking species richness into account or providing your reasoning where this is not suitable." sqref="H51 H53 H55 H57 H59">
      <formula1>$AQ$13:$AQ$15</formula1>
    </dataValidation>
    <dataValidation type="list" allowBlank="1" showInputMessage="1" showErrorMessage="1" prompt="Please select target linear condition from the list.&#10;" error="Please select an option from the drop-down list." sqref="H67:H81">
      <formula1>$AQ$13:$AQ$15</formula1>
    </dataValidation>
    <dataValidation type="list" allowBlank="1" showInputMessage="1" showErrorMessage="1" prompt="Please select current linear condition from the list.&#10;&#10;Using FEP guidance but also taking species richness into account or providing your reasoning where this is not suitable." error="Please select an option from the drop-down list." sqref="H15:H44">
      <formula1>$AQ$13:$AQ$15</formula1>
    </dataValidation>
    <dataValidation errorStyle="warning" type="list" allowBlank="1" showInputMessage="1" showErrorMessage="1" prompt="Please select the existing linear features from the list.&#10;&#10;This will automatically generate the appropriate phase 1 habitat code and distinctiveness score." error="Are you sure you want to enter a habitat not on the list?" sqref="D15:D44">
      <formula1>$AH$52:$AH$68</formula1>
    </dataValidation>
    <dataValidation errorStyle="warning" type="custom" allowBlank="1" showInputMessage="1" showErrorMessage="1" error="Are you sure you want to change the recommended distinctiveness?&#10;&#10;If yes, continue but please include your reasoning." sqref="F50 F15:F44 F52 F54 F56 F58 F84:F98 F67:F81">
      <formula1>IF($D50&gt;0,(VLOOKUP($D50,$AH$51:$AO$66,3,FALSE)),"")</formula1>
    </dataValidation>
    <dataValidation errorStyle="warning" type="list" allowBlank="1" showInputMessage="1" showErrorMessage="1" prompt="Please select the existing linear feature to be indirectly impacted from the list." error="Are you sure you want to enter a habitat not on the list?" sqref="D50 D58 D56 D54 D52">
      <formula1>$AH$52:$AH$68</formula1>
    </dataValidation>
    <dataValidation type="list" allowBlank="1" showInputMessage="1" showErrorMessage="1" prompt="Please select the proposed linear features to be created from the list.&#10;&#10;This will automatically generate the appropriate habitat code, distinctiveness score and creation difficulty." sqref="D67:D81">
      <formula1>$AH$114:$AH$129</formula1>
    </dataValidation>
    <dataValidation errorStyle="warning" type="list" allowBlank="1" showInputMessage="1" showErrorMessage="1" prompt="Please select the proposed linear features to be restored from the list.&#10;&#10;This will automatically generate the appropriate habitat code, distinctiveness score and restoration difficulty." error="Are you sure you want to enter a habitat not on the list?" sqref="D84:D98">
      <formula1>$AI$114:$AI$126</formula1>
    </dataValidation>
    <dataValidation errorStyle="warning" type="custom" allowBlank="1" showInputMessage="1" showErrorMessage="1" error="Are you sure you want to change the recommended difficulty?&#10;&#10;If yes, continue but please include your reasoning." sqref="M67:M81">
      <formula1>IF($D67&gt;0,(VLOOKUP($D67,$AH$51:$AO$66,5,FALSE)),"")</formula1>
    </dataValidation>
    <dataValidation errorStyle="warning" type="custom" allowBlank="1" showInputMessage="1" showErrorMessage="1" error="Are you sure you want to change the recommended difficulty?&#10;&#10;If yes, continue but please include your reasoning." sqref="M84:M98">
      <formula1>IF($D84&gt;0,(VLOOKUP($D84,$AH$51:$AO$66,7,FALSE)),"")</formula1>
    </dataValidation>
  </dataValidations>
  <printOptions/>
  <pageMargins left="0.7" right="0.7" top="0.75" bottom="0.75" header="0.3" footer="0.3"/>
  <pageSetup horizontalDpi="600" verticalDpi="600" orientation="landscape" paperSize="9" scale="42" r:id="rId3"/>
  <rowBreaks count="1" manualBreakCount="1">
    <brk id="61" max="255" man="1"/>
  </rowBreaks>
  <colBreaks count="1" manualBreakCount="1">
    <brk id="15" max="65535" man="1"/>
  </colBreaks>
  <ignoredErrors>
    <ignoredError sqref="J51:J57" formula="1"/>
  </ignoredErrors>
  <legacyDrawing r:id="rId2"/>
</worksheet>
</file>

<file path=xl/worksheets/sheet3.xml><?xml version="1.0" encoding="utf-8"?>
<worksheet xmlns="http://schemas.openxmlformats.org/spreadsheetml/2006/main" xmlns:r="http://schemas.openxmlformats.org/officeDocument/2006/relationships">
  <dimension ref="A1:L40"/>
  <sheetViews>
    <sheetView zoomScalePageLayoutView="0" workbookViewId="0" topLeftCell="A1">
      <selection activeCell="B2" sqref="B2:E2"/>
    </sheetView>
  </sheetViews>
  <sheetFormatPr defaultColWidth="9.140625" defaultRowHeight="12.75"/>
  <cols>
    <col min="2" max="2" width="24.140625" style="0" customWidth="1"/>
    <col min="3" max="3" width="19.28125" style="0" customWidth="1"/>
    <col min="4" max="5" width="11.421875" style="0" customWidth="1"/>
    <col min="6" max="6" width="9.140625" style="7" customWidth="1"/>
  </cols>
  <sheetData>
    <row r="1" spans="1:6" ht="12.75">
      <c r="A1" s="686"/>
      <c r="B1" s="687"/>
      <c r="C1" s="687"/>
      <c r="D1" s="687"/>
      <c r="E1" s="687"/>
      <c r="F1" s="688"/>
    </row>
    <row r="2" spans="1:6" ht="12.75">
      <c r="A2" s="689"/>
      <c r="B2" s="808" t="s">
        <v>211</v>
      </c>
      <c r="C2" s="808"/>
      <c r="D2" s="808"/>
      <c r="E2" s="808"/>
      <c r="F2" s="690"/>
    </row>
    <row r="3" spans="1:6" ht="13.5" thickBot="1">
      <c r="A3" s="689"/>
      <c r="B3" s="13"/>
      <c r="C3" s="13"/>
      <c r="D3" s="13"/>
      <c r="E3" s="13"/>
      <c r="F3" s="690"/>
    </row>
    <row r="4" spans="1:6" ht="12.75">
      <c r="A4" s="689"/>
      <c r="B4" s="8" t="s">
        <v>107</v>
      </c>
      <c r="C4" s="814" t="str">
        <f>IF('Biodiversity Impact Assessment'!I6&gt;0,'Biodiversity Impact Assessment'!I6,"")</f>
        <v>Gavray Drive (East)</v>
      </c>
      <c r="D4" s="815"/>
      <c r="E4" s="816"/>
      <c r="F4" s="690"/>
    </row>
    <row r="5" spans="1:6" ht="13.5" thickBot="1">
      <c r="A5" s="689"/>
      <c r="B5" s="9" t="s">
        <v>201</v>
      </c>
      <c r="C5" s="811">
        <f>IF('Biodiversity Impact Assessment'!I7&gt;0,'Biodiversity Impact Assessment'!I7,"")</f>
      </c>
      <c r="D5" s="812"/>
      <c r="E5" s="813"/>
      <c r="F5" s="690"/>
    </row>
    <row r="6" spans="1:6" ht="13.5" thickBot="1">
      <c r="A6" s="689"/>
      <c r="B6" s="13"/>
      <c r="C6" s="13"/>
      <c r="D6" s="13"/>
      <c r="E6" s="13"/>
      <c r="F6" s="690"/>
    </row>
    <row r="7" spans="1:6" ht="39" customHeight="1" thickBot="1">
      <c r="A7" s="689"/>
      <c r="B7" s="51" t="s">
        <v>274</v>
      </c>
      <c r="C7" s="50"/>
      <c r="D7" s="45" t="s">
        <v>72</v>
      </c>
      <c r="E7" s="46" t="s">
        <v>196</v>
      </c>
      <c r="F7" s="690"/>
    </row>
    <row r="8" spans="1:6" ht="12.75">
      <c r="A8" s="689"/>
      <c r="B8" s="798" t="s">
        <v>278</v>
      </c>
      <c r="C8" s="799"/>
      <c r="D8" s="53">
        <f>'Biodiversity Impact Assessment'!$E$45</f>
        <v>15.73699</v>
      </c>
      <c r="E8" s="54">
        <f>'Biodiversity Impact Assessment'!$O$47</f>
        <v>75.04171</v>
      </c>
      <c r="F8" s="690"/>
    </row>
    <row r="9" spans="1:6" ht="26.25" customHeight="1">
      <c r="A9" s="689"/>
      <c r="B9" s="796" t="s">
        <v>284</v>
      </c>
      <c r="C9" s="797"/>
      <c r="D9" s="49">
        <f>'Biodiversity Impact Assessment'!$N$45+'Biodiversity Impact Assessment'!$E$60</f>
        <v>8.180430000000001</v>
      </c>
      <c r="E9" s="10">
        <f>'Biodiversity Impact Assessment'!$O$61</f>
        <v>37.58729</v>
      </c>
      <c r="F9" s="690"/>
    </row>
    <row r="10" spans="1:6" ht="26.25" customHeight="1" thickBot="1">
      <c r="A10" s="689"/>
      <c r="B10" s="805" t="s">
        <v>285</v>
      </c>
      <c r="C10" s="806"/>
      <c r="D10" s="55">
        <f>'Biodiversity Impact Assessment'!$E$82+'Biodiversity Impact Assessment'!$E$99</f>
        <v>15.73699</v>
      </c>
      <c r="E10" s="56">
        <f>'Biodiversity Impact Assessment'!$O$100</f>
        <v>57.331365476190484</v>
      </c>
      <c r="F10" s="690"/>
    </row>
    <row r="11" spans="1:6" ht="26.25" customHeight="1">
      <c r="A11" s="689"/>
      <c r="B11" s="803" t="s">
        <v>333</v>
      </c>
      <c r="C11" s="804"/>
      <c r="D11" s="25"/>
      <c r="E11" s="52">
        <f>'Biodiversity Impact Assessment'!$O$102</f>
        <v>19.74407547619048</v>
      </c>
      <c r="F11" s="690"/>
    </row>
    <row r="12" spans="1:6" ht="12.75">
      <c r="A12" s="689"/>
      <c r="B12" s="801" t="s">
        <v>289</v>
      </c>
      <c r="C12" s="802"/>
      <c r="D12" s="25"/>
      <c r="E12" s="42">
        <f>'Biodiversity Impact Assessment'!$O$103</f>
      </c>
      <c r="F12" s="690"/>
    </row>
    <row r="13" spans="1:6" ht="3.75" customHeight="1" thickBot="1">
      <c r="A13" s="689"/>
      <c r="B13" s="43"/>
      <c r="C13" s="44"/>
      <c r="D13" s="41"/>
      <c r="E13" s="44"/>
      <c r="F13" s="690"/>
    </row>
    <row r="14" spans="1:12" ht="39" customHeight="1" thickBot="1">
      <c r="A14" s="689"/>
      <c r="B14" s="51" t="s">
        <v>125</v>
      </c>
      <c r="C14" s="50"/>
      <c r="D14" s="45" t="s">
        <v>305</v>
      </c>
      <c r="E14" s="46" t="s">
        <v>239</v>
      </c>
      <c r="F14" s="690"/>
      <c r="L14" s="1"/>
    </row>
    <row r="15" spans="1:6" ht="12.75">
      <c r="A15" s="689"/>
      <c r="B15" s="798" t="s">
        <v>277</v>
      </c>
      <c r="C15" s="799"/>
      <c r="D15" s="53">
        <f>'Linear Impact Assessment'!$E$45</f>
        <v>3.03</v>
      </c>
      <c r="E15" s="54">
        <f>'Linear Impact Assessment'!$O$47</f>
        <v>23.680000000000003</v>
      </c>
      <c r="F15" s="690"/>
    </row>
    <row r="16" spans="1:6" ht="26.25" customHeight="1">
      <c r="A16" s="689"/>
      <c r="B16" s="796" t="s">
        <v>286</v>
      </c>
      <c r="C16" s="797"/>
      <c r="D16" s="49">
        <f>'Linear Impact Assessment'!$N$45+'Linear Impact Assessment'!$E$60</f>
        <v>0.25</v>
      </c>
      <c r="E16" s="10">
        <f>'Linear Impact Assessment'!$O$61</f>
        <v>1.82</v>
      </c>
      <c r="F16" s="691"/>
    </row>
    <row r="17" spans="1:6" ht="26.25" customHeight="1" thickBot="1">
      <c r="A17" s="689"/>
      <c r="B17" s="805" t="s">
        <v>287</v>
      </c>
      <c r="C17" s="806"/>
      <c r="D17" s="55">
        <f>'Linear Impact Assessment'!$E$82+'Linear Impact Assessment'!$E$99</f>
        <v>1.1400000000000001</v>
      </c>
      <c r="E17" s="56">
        <f>'Linear Impact Assessment'!$O$100</f>
        <v>6.957142857142857</v>
      </c>
      <c r="F17" s="691"/>
    </row>
    <row r="18" spans="1:6" ht="26.25" customHeight="1">
      <c r="A18" s="689"/>
      <c r="B18" s="803" t="s">
        <v>334</v>
      </c>
      <c r="C18" s="804"/>
      <c r="D18" s="25"/>
      <c r="E18" s="52">
        <f>'Linear Impact Assessment'!$O$102</f>
        <v>5.137142857142857</v>
      </c>
      <c r="F18" s="690"/>
    </row>
    <row r="19" spans="1:6" ht="13.5" thickBot="1">
      <c r="A19" s="689"/>
      <c r="B19" s="809" t="s">
        <v>288</v>
      </c>
      <c r="C19" s="810"/>
      <c r="D19" s="41"/>
      <c r="E19" s="57">
        <f>'Linear Impact Assessment'!$O$103</f>
      </c>
      <c r="F19" s="690"/>
    </row>
    <row r="20" spans="1:6" ht="12.75">
      <c r="A20" s="689"/>
      <c r="B20" s="3"/>
      <c r="C20" s="3"/>
      <c r="D20" s="13"/>
      <c r="E20" s="15"/>
      <c r="F20" s="690"/>
    </row>
    <row r="21" spans="1:6" ht="38.25" customHeight="1">
      <c r="A21" s="689"/>
      <c r="B21" s="800" t="str">
        <f>IF(('Habitat trading down correction'!E42+'Linear trading down correction'!E42+'Linear trading down correction'!F42)&gt;0,"CAUTION - Destruction of habitats of high distinctiveness, e.g. lowland meadow, ancient woodland or species-rich hedgerows, may be against local policy. Has the mitigation hierarchy been followed, can impact to these habitats be avoided?","")</f>
        <v>CAUTION - Destruction of habitats of high distinctiveness, e.g. lowland meadow, ancient woodland or species-rich hedgerows, may be against local policy. Has the mitigation hierarchy been followed, can impact to these habitats be avoided?</v>
      </c>
      <c r="C21" s="800"/>
      <c r="D21" s="800"/>
      <c r="E21" s="800"/>
      <c r="F21" s="690"/>
    </row>
    <row r="22" spans="1:6" ht="12.75">
      <c r="A22" s="689"/>
      <c r="B22" s="800" t="str">
        <f>IF(('Habitat trading down correction'!E42+'Linear trading down correction'!E42+'Linear trading down correction'!F42)&gt;0,"Any unavoidable loss of habitats of high distinctiveness must be replaced like-for-like.","")</f>
        <v>Any unavoidable loss of habitats of high distinctiveness must be replaced like-for-like.</v>
      </c>
      <c r="C22" s="800"/>
      <c r="D22" s="800"/>
      <c r="E22" s="800"/>
      <c r="F22" s="690"/>
    </row>
    <row r="23" spans="1:6" ht="12.75">
      <c r="A23" s="689"/>
      <c r="B23" s="3"/>
      <c r="C23" s="3"/>
      <c r="D23" s="13"/>
      <c r="E23" s="48"/>
      <c r="F23" s="690"/>
    </row>
    <row r="24" spans="1:6" ht="39" customHeight="1">
      <c r="A24" s="689"/>
      <c r="B24" s="807" t="s">
        <v>212</v>
      </c>
      <c r="C24" s="807"/>
      <c r="D24" s="807"/>
      <c r="E24" s="807"/>
      <c r="F24" s="690"/>
    </row>
    <row r="25" spans="1:6" ht="12.75">
      <c r="A25" s="689"/>
      <c r="B25" s="3" t="s">
        <v>202</v>
      </c>
      <c r="C25" s="3"/>
      <c r="D25" s="13"/>
      <c r="E25" s="13"/>
      <c r="F25" s="690"/>
    </row>
    <row r="26" spans="1:6" ht="12.75">
      <c r="A26" s="689"/>
      <c r="B26" s="3" t="s">
        <v>203</v>
      </c>
      <c r="C26" s="3"/>
      <c r="D26" s="13"/>
      <c r="E26" s="13"/>
      <c r="F26" s="690"/>
    </row>
    <row r="27" spans="1:6" ht="12.75">
      <c r="A27" s="689"/>
      <c r="B27" s="13"/>
      <c r="C27" s="13"/>
      <c r="D27" s="13"/>
      <c r="E27" s="13"/>
      <c r="F27" s="690"/>
    </row>
    <row r="28" spans="1:6" ht="52.5" customHeight="1">
      <c r="A28" s="689"/>
      <c r="B28" s="807" t="s">
        <v>206</v>
      </c>
      <c r="C28" s="807"/>
      <c r="D28" s="807"/>
      <c r="E28" s="807"/>
      <c r="F28" s="690"/>
    </row>
    <row r="29" spans="1:6" ht="25.5" customHeight="1">
      <c r="A29" s="689"/>
      <c r="B29" s="807" t="s">
        <v>207</v>
      </c>
      <c r="C29" s="807"/>
      <c r="D29" s="807"/>
      <c r="E29" s="807"/>
      <c r="F29" s="690"/>
    </row>
    <row r="30" spans="1:6" ht="12.75" customHeight="1">
      <c r="A30" s="689"/>
      <c r="B30" s="659"/>
      <c r="C30" s="659"/>
      <c r="D30" s="659"/>
      <c r="E30" s="659"/>
      <c r="F30" s="690"/>
    </row>
    <row r="31" spans="1:6" ht="12.75">
      <c r="A31" s="689"/>
      <c r="B31" s="3" t="s">
        <v>204</v>
      </c>
      <c r="C31" s="3"/>
      <c r="D31" s="13"/>
      <c r="E31" s="13"/>
      <c r="F31" s="690"/>
    </row>
    <row r="32" spans="1:6" ht="12.75">
      <c r="A32" s="689"/>
      <c r="B32" s="3" t="s">
        <v>205</v>
      </c>
      <c r="C32" s="3"/>
      <c r="D32" s="13"/>
      <c r="E32" s="13"/>
      <c r="F32" s="690"/>
    </row>
    <row r="33" spans="1:6" ht="12.75">
      <c r="A33" s="689"/>
      <c r="B33" s="13"/>
      <c r="C33" s="13"/>
      <c r="D33" s="13"/>
      <c r="E33" s="13"/>
      <c r="F33" s="690"/>
    </row>
    <row r="34" spans="1:6" ht="12.75">
      <c r="A34" s="689"/>
      <c r="B34" s="13"/>
      <c r="C34" s="13"/>
      <c r="D34" s="13"/>
      <c r="E34" s="13"/>
      <c r="F34" s="690"/>
    </row>
    <row r="35" spans="1:6" ht="12.75">
      <c r="A35" s="689"/>
      <c r="B35" s="13"/>
      <c r="C35" s="13"/>
      <c r="D35" s="13"/>
      <c r="E35" s="13"/>
      <c r="F35" s="690"/>
    </row>
    <row r="36" spans="1:6" ht="12.75">
      <c r="A36" s="689"/>
      <c r="B36" s="13"/>
      <c r="C36" s="13"/>
      <c r="D36" s="13"/>
      <c r="E36" s="13"/>
      <c r="F36" s="690"/>
    </row>
    <row r="37" spans="1:6" ht="12.75">
      <c r="A37" s="689"/>
      <c r="B37" s="13"/>
      <c r="C37" s="13"/>
      <c r="D37" s="13"/>
      <c r="E37" s="13"/>
      <c r="F37" s="690"/>
    </row>
    <row r="38" spans="1:6" ht="12.75">
      <c r="A38" s="689"/>
      <c r="B38" s="13"/>
      <c r="C38" s="13"/>
      <c r="D38" s="13"/>
      <c r="E38" s="13"/>
      <c r="F38" s="690"/>
    </row>
    <row r="39" spans="1:6" ht="12.75">
      <c r="A39" s="689"/>
      <c r="B39" s="13"/>
      <c r="C39" s="13"/>
      <c r="D39" s="13"/>
      <c r="E39" s="13"/>
      <c r="F39" s="690"/>
    </row>
    <row r="40" spans="1:6" ht="13.5" thickBot="1">
      <c r="A40" s="692"/>
      <c r="B40" s="693"/>
      <c r="C40" s="693"/>
      <c r="D40" s="693"/>
      <c r="E40" s="693"/>
      <c r="F40" s="694"/>
    </row>
    <row r="41" s="58" customFormat="1" ht="12.75"/>
    <row r="42" s="58" customFormat="1" ht="12.75"/>
    <row r="43" s="58" customFormat="1" ht="12.75"/>
    <row r="44" s="58" customFormat="1" ht="12.75"/>
    <row r="45" s="58" customFormat="1" ht="12.75"/>
    <row r="46" s="58" customFormat="1" ht="12.75"/>
    <row r="47" s="58" customFormat="1" ht="12.75"/>
    <row r="48" s="58" customFormat="1" ht="12.75"/>
    <row r="49" s="58" customFormat="1" ht="12.75"/>
    <row r="50" s="58" customFormat="1" ht="12.75"/>
    <row r="51" s="58" customFormat="1" ht="12.75"/>
    <row r="52" s="58" customFormat="1" ht="12.75"/>
    <row r="53" s="58" customFormat="1" ht="12.75"/>
    <row r="54" s="58" customFormat="1" ht="12.75"/>
    <row r="55" s="58" customFormat="1" ht="12.75"/>
    <row r="56" s="58" customFormat="1" ht="12.75"/>
    <row r="57" s="58" customFormat="1" ht="12.75"/>
    <row r="58" s="58" customFormat="1" ht="12.75"/>
    <row r="59" s="58" customFormat="1" ht="12.75"/>
    <row r="60" s="58" customFormat="1" ht="12.75"/>
    <row r="61" s="58" customFormat="1" ht="12.75"/>
  </sheetData>
  <sheetProtection password="E252" sheet="1"/>
  <mergeCells count="18">
    <mergeCell ref="B24:E24"/>
    <mergeCell ref="B28:E28"/>
    <mergeCell ref="B29:E29"/>
    <mergeCell ref="B2:E2"/>
    <mergeCell ref="B19:C19"/>
    <mergeCell ref="B18:C18"/>
    <mergeCell ref="B17:C17"/>
    <mergeCell ref="B16:C16"/>
    <mergeCell ref="C5:E5"/>
    <mergeCell ref="C4:E4"/>
    <mergeCell ref="B9:C9"/>
    <mergeCell ref="B8:C8"/>
    <mergeCell ref="B21:E21"/>
    <mergeCell ref="B22:E22"/>
    <mergeCell ref="B15:C15"/>
    <mergeCell ref="B12:C12"/>
    <mergeCell ref="B11:C11"/>
    <mergeCell ref="B10:C10"/>
  </mergeCells>
  <printOptions/>
  <pageMargins left="0.7" right="0.7" top="0.75" bottom="0.75" header="0.3" footer="0.3"/>
  <pageSetup horizontalDpi="600" verticalDpi="600" orientation="portrait" paperSize="9" scale="95" r:id="rId2"/>
  <drawing r:id="rId1"/>
</worksheet>
</file>

<file path=xl/worksheets/sheet4.xml><?xml version="1.0" encoding="utf-8"?>
<worksheet xmlns="http://schemas.openxmlformats.org/spreadsheetml/2006/main" xmlns:r="http://schemas.openxmlformats.org/officeDocument/2006/relationships">
  <dimension ref="A2:K69"/>
  <sheetViews>
    <sheetView workbookViewId="0" topLeftCell="A1">
      <selection activeCell="A2" sqref="A2"/>
    </sheetView>
  </sheetViews>
  <sheetFormatPr defaultColWidth="9.140625" defaultRowHeight="12.75"/>
  <cols>
    <col min="1" max="1" width="46.140625" style="80" customWidth="1"/>
    <col min="2" max="2" width="16.421875" style="80" customWidth="1"/>
    <col min="3" max="3" width="13.421875" style="80" customWidth="1"/>
    <col min="4" max="4" width="9.140625" style="80" customWidth="1"/>
    <col min="5" max="8" width="13.28125" style="80" customWidth="1"/>
    <col min="9" max="9" width="9.140625" style="80" customWidth="1"/>
    <col min="10" max="10" width="14.421875" style="80" customWidth="1"/>
    <col min="11" max="11" width="9.140625" style="80" customWidth="1"/>
    <col min="12" max="12" width="25.421875" style="6" customWidth="1"/>
    <col min="13" max="13" width="17.7109375" style="6" customWidth="1"/>
    <col min="14" max="14" width="24.7109375" style="6" customWidth="1"/>
    <col min="15" max="15" width="22.28125" style="6" customWidth="1"/>
    <col min="16" max="16" width="16.421875" style="6" customWidth="1"/>
    <col min="17" max="17" width="15.28125" style="6" bestFit="1" customWidth="1"/>
    <col min="18" max="18" width="15.57421875" style="6" customWidth="1"/>
    <col min="19" max="19" width="15.00390625" style="6" customWidth="1"/>
    <col min="20" max="20" width="13.8515625" style="6" bestFit="1" customWidth="1"/>
    <col min="21" max="16384" width="9.140625" style="6" customWidth="1"/>
  </cols>
  <sheetData>
    <row r="1" ht="13.5" thickBot="1"/>
    <row r="2" spans="1:11" ht="32.25" customHeight="1" thickBot="1">
      <c r="A2" s="660" t="s">
        <v>79</v>
      </c>
      <c r="B2" s="661" t="s">
        <v>12</v>
      </c>
      <c r="C2" s="765" t="s">
        <v>0</v>
      </c>
      <c r="D2" s="766"/>
      <c r="E2" s="746" t="s">
        <v>115</v>
      </c>
      <c r="F2" s="747"/>
      <c r="G2" s="747" t="s">
        <v>75</v>
      </c>
      <c r="H2" s="748"/>
      <c r="I2" s="84"/>
      <c r="J2" s="84"/>
      <c r="K2" s="84"/>
    </row>
    <row r="3" spans="1:11" ht="13.5" customHeight="1" thickBot="1">
      <c r="A3" s="87" t="s">
        <v>171</v>
      </c>
      <c r="B3" s="671" t="s">
        <v>112</v>
      </c>
      <c r="C3" s="88" t="s">
        <v>114</v>
      </c>
      <c r="D3" s="89">
        <v>0</v>
      </c>
      <c r="E3" s="88" t="s">
        <v>54</v>
      </c>
      <c r="F3" s="89">
        <v>1</v>
      </c>
      <c r="G3" s="674" t="s">
        <v>54</v>
      </c>
      <c r="H3" s="90">
        <v>1</v>
      </c>
      <c r="I3" s="84"/>
      <c r="J3" s="84"/>
      <c r="K3" s="84"/>
    </row>
    <row r="4" spans="1:11" ht="13.5" thickBot="1">
      <c r="A4" s="96" t="s">
        <v>172</v>
      </c>
      <c r="B4" s="134" t="s">
        <v>112</v>
      </c>
      <c r="C4" s="97" t="s">
        <v>54</v>
      </c>
      <c r="D4" s="98">
        <v>1</v>
      </c>
      <c r="E4" s="97" t="s">
        <v>54</v>
      </c>
      <c r="F4" s="98">
        <v>1</v>
      </c>
      <c r="G4" s="675" t="s">
        <v>54</v>
      </c>
      <c r="H4" s="99">
        <v>1</v>
      </c>
      <c r="I4" s="84"/>
      <c r="J4" s="91" t="s">
        <v>0</v>
      </c>
      <c r="K4" s="92"/>
    </row>
    <row r="5" spans="1:11" ht="12.75">
      <c r="A5" s="96" t="s">
        <v>126</v>
      </c>
      <c r="B5" s="134" t="s">
        <v>13</v>
      </c>
      <c r="C5" s="97" t="s">
        <v>52</v>
      </c>
      <c r="D5" s="98">
        <v>6</v>
      </c>
      <c r="E5" s="97" t="s">
        <v>112</v>
      </c>
      <c r="F5" s="98" t="s">
        <v>110</v>
      </c>
      <c r="G5" s="675" t="s">
        <v>54</v>
      </c>
      <c r="H5" s="99">
        <v>1</v>
      </c>
      <c r="I5" s="84"/>
      <c r="J5" s="94" t="s">
        <v>52</v>
      </c>
      <c r="K5" s="95">
        <v>6</v>
      </c>
    </row>
    <row r="6" spans="1:11" ht="12.75">
      <c r="A6" s="96" t="s">
        <v>127</v>
      </c>
      <c r="B6" s="134" t="s">
        <v>14</v>
      </c>
      <c r="C6" s="97" t="s">
        <v>76</v>
      </c>
      <c r="D6" s="98">
        <v>4</v>
      </c>
      <c r="E6" s="97" t="s">
        <v>76</v>
      </c>
      <c r="F6" s="98">
        <v>1.5</v>
      </c>
      <c r="G6" s="675" t="s">
        <v>54</v>
      </c>
      <c r="H6" s="99">
        <v>1</v>
      </c>
      <c r="I6" s="84"/>
      <c r="J6" s="100" t="s">
        <v>307</v>
      </c>
      <c r="K6" s="101">
        <v>5</v>
      </c>
    </row>
    <row r="7" spans="1:11" ht="12.75">
      <c r="A7" s="96" t="s">
        <v>128</v>
      </c>
      <c r="B7" s="134" t="s">
        <v>15</v>
      </c>
      <c r="C7" s="97" t="s">
        <v>76</v>
      </c>
      <c r="D7" s="98">
        <v>4</v>
      </c>
      <c r="E7" s="97" t="s">
        <v>112</v>
      </c>
      <c r="F7" s="98" t="s">
        <v>110</v>
      </c>
      <c r="G7" s="675" t="s">
        <v>54</v>
      </c>
      <c r="H7" s="99">
        <v>1</v>
      </c>
      <c r="I7" s="84"/>
      <c r="J7" s="100" t="s">
        <v>76</v>
      </c>
      <c r="K7" s="101">
        <v>4</v>
      </c>
    </row>
    <row r="8" spans="1:11" ht="12.75">
      <c r="A8" s="96" t="s">
        <v>129</v>
      </c>
      <c r="B8" s="134" t="s">
        <v>16</v>
      </c>
      <c r="C8" s="97" t="s">
        <v>54</v>
      </c>
      <c r="D8" s="98">
        <v>2</v>
      </c>
      <c r="E8" s="97" t="s">
        <v>76</v>
      </c>
      <c r="F8" s="98">
        <v>1.5</v>
      </c>
      <c r="G8" s="675" t="s">
        <v>54</v>
      </c>
      <c r="H8" s="99">
        <v>1</v>
      </c>
      <c r="I8" s="84"/>
      <c r="J8" s="611" t="s">
        <v>306</v>
      </c>
      <c r="K8" s="612">
        <v>3</v>
      </c>
    </row>
    <row r="9" spans="1:11" ht="12.75">
      <c r="A9" s="96" t="s">
        <v>130</v>
      </c>
      <c r="B9" s="134" t="s">
        <v>17</v>
      </c>
      <c r="C9" s="97" t="s">
        <v>76</v>
      </c>
      <c r="D9" s="98">
        <v>4</v>
      </c>
      <c r="E9" s="97" t="s">
        <v>112</v>
      </c>
      <c r="F9" s="98" t="s">
        <v>110</v>
      </c>
      <c r="G9" s="675" t="s">
        <v>54</v>
      </c>
      <c r="H9" s="99">
        <v>1</v>
      </c>
      <c r="I9" s="84"/>
      <c r="J9" s="100" t="s">
        <v>54</v>
      </c>
      <c r="K9" s="101">
        <v>2</v>
      </c>
    </row>
    <row r="10" spans="1:11" ht="13.5" thickBot="1">
      <c r="A10" s="96" t="s">
        <v>131</v>
      </c>
      <c r="B10" s="134" t="s">
        <v>18</v>
      </c>
      <c r="C10" s="97" t="s">
        <v>54</v>
      </c>
      <c r="D10" s="98">
        <v>2</v>
      </c>
      <c r="E10" s="97" t="s">
        <v>76</v>
      </c>
      <c r="F10" s="98">
        <v>1.5</v>
      </c>
      <c r="G10" s="675" t="s">
        <v>54</v>
      </c>
      <c r="H10" s="99">
        <v>1</v>
      </c>
      <c r="I10" s="84"/>
      <c r="J10" s="103" t="s">
        <v>114</v>
      </c>
      <c r="K10" s="104">
        <v>0</v>
      </c>
    </row>
    <row r="11" spans="1:11" ht="13.5" thickBot="1">
      <c r="A11" s="96" t="s">
        <v>132</v>
      </c>
      <c r="B11" s="134" t="s">
        <v>112</v>
      </c>
      <c r="C11" s="97" t="s">
        <v>52</v>
      </c>
      <c r="D11" s="98">
        <v>6</v>
      </c>
      <c r="E11" s="97" t="s">
        <v>76</v>
      </c>
      <c r="F11" s="98">
        <v>1.5</v>
      </c>
      <c r="G11" s="97" t="s">
        <v>76</v>
      </c>
      <c r="H11" s="98">
        <v>1.5</v>
      </c>
      <c r="I11" s="84"/>
      <c r="J11" s="105"/>
      <c r="K11" s="105"/>
    </row>
    <row r="12" spans="1:11" ht="13.5" thickBot="1">
      <c r="A12" s="96" t="s">
        <v>148</v>
      </c>
      <c r="B12" s="134" t="s">
        <v>19</v>
      </c>
      <c r="C12" s="97" t="s">
        <v>306</v>
      </c>
      <c r="D12" s="98">
        <v>3</v>
      </c>
      <c r="E12" s="97" t="s">
        <v>54</v>
      </c>
      <c r="F12" s="98">
        <v>1</v>
      </c>
      <c r="G12" s="675" t="s">
        <v>54</v>
      </c>
      <c r="H12" s="99">
        <v>1</v>
      </c>
      <c r="I12" s="84"/>
      <c r="J12" s="108" t="s">
        <v>1</v>
      </c>
      <c r="K12" s="109"/>
    </row>
    <row r="13" spans="1:11" ht="12.75">
      <c r="A13" s="96" t="s">
        <v>149</v>
      </c>
      <c r="B13" s="134" t="s">
        <v>20</v>
      </c>
      <c r="C13" s="97" t="s">
        <v>76</v>
      </c>
      <c r="D13" s="98">
        <v>4</v>
      </c>
      <c r="E13" s="97" t="s">
        <v>54</v>
      </c>
      <c r="F13" s="98">
        <v>1</v>
      </c>
      <c r="G13" s="675" t="s">
        <v>54</v>
      </c>
      <c r="H13" s="99">
        <v>1</v>
      </c>
      <c r="I13" s="84"/>
      <c r="J13" s="111" t="s">
        <v>70</v>
      </c>
      <c r="K13" s="112">
        <v>3</v>
      </c>
    </row>
    <row r="14" spans="1:11" ht="12.75">
      <c r="A14" s="96" t="s">
        <v>335</v>
      </c>
      <c r="B14" s="134" t="s">
        <v>59</v>
      </c>
      <c r="C14" s="97" t="s">
        <v>76</v>
      </c>
      <c r="D14" s="98">
        <v>4</v>
      </c>
      <c r="E14" s="97" t="s">
        <v>54</v>
      </c>
      <c r="F14" s="98">
        <v>1</v>
      </c>
      <c r="G14" s="675" t="s">
        <v>54</v>
      </c>
      <c r="H14" s="99">
        <v>1</v>
      </c>
      <c r="I14" s="84"/>
      <c r="J14" s="100" t="s">
        <v>53</v>
      </c>
      <c r="K14" s="101">
        <v>2</v>
      </c>
    </row>
    <row r="15" spans="1:11" ht="13.5" thickBot="1">
      <c r="A15" s="96" t="s">
        <v>336</v>
      </c>
      <c r="B15" s="134" t="s">
        <v>21</v>
      </c>
      <c r="C15" s="97" t="s">
        <v>52</v>
      </c>
      <c r="D15" s="98">
        <v>6</v>
      </c>
      <c r="E15" s="97" t="s">
        <v>76</v>
      </c>
      <c r="F15" s="98">
        <v>1.5</v>
      </c>
      <c r="G15" s="675" t="s">
        <v>54</v>
      </c>
      <c r="H15" s="99">
        <v>1</v>
      </c>
      <c r="I15" s="84"/>
      <c r="J15" s="103" t="s">
        <v>71</v>
      </c>
      <c r="K15" s="104">
        <v>1</v>
      </c>
    </row>
    <row r="16" spans="1:11" ht="13.5" thickBot="1">
      <c r="A16" s="96" t="s">
        <v>337</v>
      </c>
      <c r="B16" s="134" t="s">
        <v>22</v>
      </c>
      <c r="C16" s="97" t="s">
        <v>76</v>
      </c>
      <c r="D16" s="98">
        <v>4</v>
      </c>
      <c r="E16" s="97" t="s">
        <v>76</v>
      </c>
      <c r="F16" s="98">
        <v>1.5</v>
      </c>
      <c r="G16" s="675" t="s">
        <v>54</v>
      </c>
      <c r="H16" s="99">
        <v>1</v>
      </c>
      <c r="I16" s="84"/>
      <c r="J16" s="84"/>
      <c r="K16" s="84"/>
    </row>
    <row r="17" spans="1:11" ht="13.5" thickBot="1">
      <c r="A17" s="96" t="s">
        <v>150</v>
      </c>
      <c r="B17" s="134" t="s">
        <v>23</v>
      </c>
      <c r="C17" s="97" t="s">
        <v>54</v>
      </c>
      <c r="D17" s="98">
        <v>2</v>
      </c>
      <c r="E17" s="97" t="s">
        <v>112</v>
      </c>
      <c r="F17" s="98" t="s">
        <v>110</v>
      </c>
      <c r="G17" s="97" t="s">
        <v>112</v>
      </c>
      <c r="H17" s="98" t="s">
        <v>110</v>
      </c>
      <c r="I17" s="84"/>
      <c r="J17" s="108" t="s">
        <v>85</v>
      </c>
      <c r="K17" s="109"/>
    </row>
    <row r="18" spans="1:11" ht="12.75">
      <c r="A18" s="96" t="s">
        <v>151</v>
      </c>
      <c r="B18" s="134" t="s">
        <v>24</v>
      </c>
      <c r="C18" s="97" t="s">
        <v>52</v>
      </c>
      <c r="D18" s="98">
        <v>6</v>
      </c>
      <c r="E18" s="97" t="s">
        <v>54</v>
      </c>
      <c r="F18" s="98">
        <v>1</v>
      </c>
      <c r="G18" s="675" t="s">
        <v>54</v>
      </c>
      <c r="H18" s="99">
        <v>1</v>
      </c>
      <c r="I18" s="84"/>
      <c r="J18" s="111" t="s">
        <v>86</v>
      </c>
      <c r="K18" s="112">
        <v>1.2</v>
      </c>
    </row>
    <row r="19" spans="1:11" ht="12.75">
      <c r="A19" s="96" t="s">
        <v>152</v>
      </c>
      <c r="B19" s="134" t="s">
        <v>25</v>
      </c>
      <c r="C19" s="97" t="s">
        <v>52</v>
      </c>
      <c r="D19" s="98">
        <v>6</v>
      </c>
      <c r="E19" s="97" t="s">
        <v>76</v>
      </c>
      <c r="F19" s="98">
        <v>1.5</v>
      </c>
      <c r="G19" s="675" t="s">
        <v>54</v>
      </c>
      <c r="H19" s="99">
        <v>1</v>
      </c>
      <c r="I19" s="84"/>
      <c r="J19" s="100" t="s">
        <v>87</v>
      </c>
      <c r="K19" s="101">
        <v>1.4</v>
      </c>
    </row>
    <row r="20" spans="1:11" ht="12.75">
      <c r="A20" s="96" t="s">
        <v>153</v>
      </c>
      <c r="B20" s="134" t="s">
        <v>26</v>
      </c>
      <c r="C20" s="97" t="s">
        <v>307</v>
      </c>
      <c r="D20" s="98">
        <v>5</v>
      </c>
      <c r="E20" s="97" t="s">
        <v>76</v>
      </c>
      <c r="F20" s="98">
        <v>1.5</v>
      </c>
      <c r="G20" s="675" t="s">
        <v>54</v>
      </c>
      <c r="H20" s="99">
        <v>1</v>
      </c>
      <c r="I20" s="84"/>
      <c r="J20" s="100" t="s">
        <v>88</v>
      </c>
      <c r="K20" s="101">
        <v>1.7</v>
      </c>
    </row>
    <row r="21" spans="1:11" ht="12.75">
      <c r="A21" s="96" t="s">
        <v>154</v>
      </c>
      <c r="B21" s="134" t="s">
        <v>27</v>
      </c>
      <c r="C21" s="97" t="s">
        <v>52</v>
      </c>
      <c r="D21" s="98">
        <v>6</v>
      </c>
      <c r="E21" s="97" t="s">
        <v>76</v>
      </c>
      <c r="F21" s="98">
        <v>1.5</v>
      </c>
      <c r="G21" s="675" t="s">
        <v>54</v>
      </c>
      <c r="H21" s="99">
        <v>1</v>
      </c>
      <c r="I21" s="84"/>
      <c r="J21" s="100" t="s">
        <v>89</v>
      </c>
      <c r="K21" s="101">
        <v>2</v>
      </c>
    </row>
    <row r="22" spans="1:11" ht="12.75">
      <c r="A22" s="96" t="s">
        <v>155</v>
      </c>
      <c r="B22" s="134" t="s">
        <v>28</v>
      </c>
      <c r="C22" s="97" t="s">
        <v>76</v>
      </c>
      <c r="D22" s="98">
        <v>4</v>
      </c>
      <c r="E22" s="97" t="s">
        <v>76</v>
      </c>
      <c r="F22" s="98">
        <v>1.5</v>
      </c>
      <c r="G22" s="675" t="s">
        <v>54</v>
      </c>
      <c r="H22" s="99">
        <v>1</v>
      </c>
      <c r="I22" s="84"/>
      <c r="J22" s="100" t="s">
        <v>90</v>
      </c>
      <c r="K22" s="101">
        <v>2.4</v>
      </c>
    </row>
    <row r="23" spans="1:11" ht="12.75">
      <c r="A23" s="96" t="s">
        <v>156</v>
      </c>
      <c r="B23" s="134" t="s">
        <v>29</v>
      </c>
      <c r="C23" s="97" t="s">
        <v>52</v>
      </c>
      <c r="D23" s="98">
        <v>6</v>
      </c>
      <c r="E23" s="97" t="s">
        <v>76</v>
      </c>
      <c r="F23" s="98">
        <v>1.5</v>
      </c>
      <c r="G23" s="675" t="s">
        <v>54</v>
      </c>
      <c r="H23" s="99">
        <v>1</v>
      </c>
      <c r="I23" s="84"/>
      <c r="J23" s="100" t="s">
        <v>91</v>
      </c>
      <c r="K23" s="101">
        <v>2.8</v>
      </c>
    </row>
    <row r="24" spans="1:11" ht="13.5" thickBot="1">
      <c r="A24" s="96" t="s">
        <v>157</v>
      </c>
      <c r="B24" s="134" t="s">
        <v>30</v>
      </c>
      <c r="C24" s="97" t="s">
        <v>307</v>
      </c>
      <c r="D24" s="98">
        <v>5</v>
      </c>
      <c r="E24" s="97" t="s">
        <v>76</v>
      </c>
      <c r="F24" s="98">
        <v>1.5</v>
      </c>
      <c r="G24" s="675" t="s">
        <v>54</v>
      </c>
      <c r="H24" s="99">
        <v>1</v>
      </c>
      <c r="I24" s="84"/>
      <c r="J24" s="103" t="s">
        <v>92</v>
      </c>
      <c r="K24" s="104">
        <v>3</v>
      </c>
    </row>
    <row r="25" spans="1:11" ht="13.5" thickBot="1">
      <c r="A25" s="96" t="s">
        <v>158</v>
      </c>
      <c r="B25" s="134" t="s">
        <v>33</v>
      </c>
      <c r="C25" s="97" t="s">
        <v>306</v>
      </c>
      <c r="D25" s="98">
        <v>3</v>
      </c>
      <c r="E25" s="97" t="s">
        <v>76</v>
      </c>
      <c r="F25" s="98">
        <v>1.5</v>
      </c>
      <c r="G25" s="675" t="s">
        <v>54</v>
      </c>
      <c r="H25" s="99">
        <v>1</v>
      </c>
      <c r="I25" s="84"/>
      <c r="J25" s="84"/>
      <c r="K25" s="84"/>
    </row>
    <row r="26" spans="1:11" ht="13.5" thickBot="1">
      <c r="A26" s="96" t="s">
        <v>159</v>
      </c>
      <c r="B26" s="134" t="s">
        <v>31</v>
      </c>
      <c r="C26" s="97" t="s">
        <v>54</v>
      </c>
      <c r="D26" s="98">
        <v>2</v>
      </c>
      <c r="E26" s="97" t="s">
        <v>112</v>
      </c>
      <c r="F26" s="98" t="s">
        <v>110</v>
      </c>
      <c r="G26" s="675" t="s">
        <v>54</v>
      </c>
      <c r="H26" s="99">
        <v>1</v>
      </c>
      <c r="I26" s="84"/>
      <c r="J26" s="108" t="s">
        <v>78</v>
      </c>
      <c r="K26" s="109"/>
    </row>
    <row r="27" spans="1:11" ht="12.75">
      <c r="A27" s="96" t="s">
        <v>162</v>
      </c>
      <c r="B27" s="134" t="s">
        <v>32</v>
      </c>
      <c r="C27" s="97" t="s">
        <v>52</v>
      </c>
      <c r="D27" s="98">
        <v>6</v>
      </c>
      <c r="E27" s="97" t="s">
        <v>52</v>
      </c>
      <c r="F27" s="98">
        <v>3</v>
      </c>
      <c r="G27" s="675" t="s">
        <v>76</v>
      </c>
      <c r="H27" s="99">
        <v>1.5</v>
      </c>
      <c r="I27" s="84"/>
      <c r="J27" s="111" t="s">
        <v>255</v>
      </c>
      <c r="K27" s="112">
        <v>10</v>
      </c>
    </row>
    <row r="28" spans="1:11" ht="12.75">
      <c r="A28" s="96" t="s">
        <v>210</v>
      </c>
      <c r="B28" s="134" t="s">
        <v>37</v>
      </c>
      <c r="C28" s="97" t="s">
        <v>52</v>
      </c>
      <c r="D28" s="98">
        <v>6</v>
      </c>
      <c r="E28" s="97" t="s">
        <v>76</v>
      </c>
      <c r="F28" s="98">
        <v>1.5</v>
      </c>
      <c r="G28" s="675" t="s">
        <v>76</v>
      </c>
      <c r="H28" s="99">
        <v>1.5</v>
      </c>
      <c r="I28" s="84"/>
      <c r="J28" s="100" t="s">
        <v>52</v>
      </c>
      <c r="K28" s="101">
        <v>3</v>
      </c>
    </row>
    <row r="29" spans="1:11" ht="12.75">
      <c r="A29" s="96" t="s">
        <v>161</v>
      </c>
      <c r="B29" s="134" t="s">
        <v>50</v>
      </c>
      <c r="C29" s="97" t="s">
        <v>52</v>
      </c>
      <c r="D29" s="98">
        <v>6</v>
      </c>
      <c r="E29" s="97" t="s">
        <v>54</v>
      </c>
      <c r="F29" s="98">
        <v>1</v>
      </c>
      <c r="G29" s="97" t="s">
        <v>54</v>
      </c>
      <c r="H29" s="98">
        <v>1</v>
      </c>
      <c r="I29" s="84"/>
      <c r="J29" s="100" t="s">
        <v>76</v>
      </c>
      <c r="K29" s="101">
        <v>1.5</v>
      </c>
    </row>
    <row r="30" spans="1:11" ht="12.75">
      <c r="A30" s="96" t="s">
        <v>160</v>
      </c>
      <c r="B30" s="134" t="s">
        <v>51</v>
      </c>
      <c r="C30" s="97" t="s">
        <v>54</v>
      </c>
      <c r="D30" s="98">
        <v>2</v>
      </c>
      <c r="E30" s="97" t="s">
        <v>54</v>
      </c>
      <c r="F30" s="98">
        <v>1</v>
      </c>
      <c r="G30" s="97" t="s">
        <v>54</v>
      </c>
      <c r="H30" s="98">
        <v>1</v>
      </c>
      <c r="I30" s="84"/>
      <c r="J30" s="100" t="s">
        <v>54</v>
      </c>
      <c r="K30" s="101">
        <v>1</v>
      </c>
    </row>
    <row r="31" spans="1:11" ht="13.5" thickBot="1">
      <c r="A31" s="96" t="s">
        <v>168</v>
      </c>
      <c r="B31" s="134" t="s">
        <v>43</v>
      </c>
      <c r="C31" s="97" t="s">
        <v>52</v>
      </c>
      <c r="D31" s="98">
        <v>6</v>
      </c>
      <c r="E31" s="97" t="s">
        <v>76</v>
      </c>
      <c r="F31" s="98">
        <v>1.5</v>
      </c>
      <c r="G31" s="675" t="s">
        <v>76</v>
      </c>
      <c r="H31" s="99">
        <v>1.5</v>
      </c>
      <c r="I31" s="84"/>
      <c r="J31" s="103" t="s">
        <v>112</v>
      </c>
      <c r="K31" s="104">
        <v>0</v>
      </c>
    </row>
    <row r="32" spans="1:9" ht="12.75">
      <c r="A32" s="96" t="s">
        <v>169</v>
      </c>
      <c r="B32" s="134" t="s">
        <v>44</v>
      </c>
      <c r="C32" s="97" t="s">
        <v>52</v>
      </c>
      <c r="D32" s="98">
        <v>6</v>
      </c>
      <c r="E32" s="97" t="s">
        <v>76</v>
      </c>
      <c r="F32" s="98">
        <v>1.5</v>
      </c>
      <c r="G32" s="675" t="s">
        <v>76</v>
      </c>
      <c r="H32" s="99">
        <v>1.5</v>
      </c>
      <c r="I32" s="84"/>
    </row>
    <row r="33" spans="1:9" ht="12.75">
      <c r="A33" s="96" t="s">
        <v>170</v>
      </c>
      <c r="B33" s="134" t="s">
        <v>112</v>
      </c>
      <c r="C33" s="97" t="s">
        <v>52</v>
      </c>
      <c r="D33" s="98">
        <v>6</v>
      </c>
      <c r="E33" s="97" t="s">
        <v>124</v>
      </c>
      <c r="F33" s="98">
        <v>1</v>
      </c>
      <c r="G33" s="97" t="s">
        <v>124</v>
      </c>
      <c r="H33" s="98">
        <v>1</v>
      </c>
      <c r="I33" s="84"/>
    </row>
    <row r="34" spans="1:9" ht="12.75">
      <c r="A34" s="96" t="s">
        <v>163</v>
      </c>
      <c r="B34" s="134" t="s">
        <v>38</v>
      </c>
      <c r="C34" s="97" t="s">
        <v>52</v>
      </c>
      <c r="D34" s="98">
        <v>6</v>
      </c>
      <c r="E34" s="97" t="s">
        <v>77</v>
      </c>
      <c r="F34" s="98">
        <v>10</v>
      </c>
      <c r="G34" s="675" t="s">
        <v>52</v>
      </c>
      <c r="H34" s="99">
        <v>3</v>
      </c>
      <c r="I34" s="84"/>
    </row>
    <row r="35" spans="1:9" ht="12.75">
      <c r="A35" s="96" t="s">
        <v>164</v>
      </c>
      <c r="B35" s="134" t="s">
        <v>39</v>
      </c>
      <c r="C35" s="97" t="s">
        <v>52</v>
      </c>
      <c r="D35" s="98">
        <v>6</v>
      </c>
      <c r="E35" s="97" t="s">
        <v>52</v>
      </c>
      <c r="F35" s="98">
        <v>3</v>
      </c>
      <c r="G35" s="675" t="s">
        <v>76</v>
      </c>
      <c r="H35" s="99">
        <v>1.5</v>
      </c>
      <c r="I35" s="84"/>
    </row>
    <row r="36" spans="1:9" ht="12.75">
      <c r="A36" s="96" t="s">
        <v>165</v>
      </c>
      <c r="B36" s="134" t="s">
        <v>40</v>
      </c>
      <c r="C36" s="97" t="s">
        <v>52</v>
      </c>
      <c r="D36" s="98">
        <v>6</v>
      </c>
      <c r="E36" s="97" t="s">
        <v>52</v>
      </c>
      <c r="F36" s="98">
        <v>3</v>
      </c>
      <c r="G36" s="675" t="s">
        <v>76</v>
      </c>
      <c r="H36" s="99">
        <v>1.5</v>
      </c>
      <c r="I36" s="84"/>
    </row>
    <row r="37" spans="1:9" ht="12.75">
      <c r="A37" s="96" t="s">
        <v>166</v>
      </c>
      <c r="B37" s="134" t="s">
        <v>41</v>
      </c>
      <c r="C37" s="97" t="s">
        <v>52</v>
      </c>
      <c r="D37" s="98">
        <v>6</v>
      </c>
      <c r="E37" s="97" t="s">
        <v>52</v>
      </c>
      <c r="F37" s="98">
        <v>3</v>
      </c>
      <c r="G37" s="675" t="s">
        <v>76</v>
      </c>
      <c r="H37" s="99">
        <v>1.5</v>
      </c>
      <c r="I37" s="84"/>
    </row>
    <row r="38" spans="1:11" ht="12.75">
      <c r="A38" s="96" t="s">
        <v>167</v>
      </c>
      <c r="B38" s="134" t="s">
        <v>42</v>
      </c>
      <c r="C38" s="97" t="s">
        <v>52</v>
      </c>
      <c r="D38" s="98">
        <v>6</v>
      </c>
      <c r="E38" s="97" t="s">
        <v>54</v>
      </c>
      <c r="F38" s="98">
        <v>1</v>
      </c>
      <c r="G38" s="675" t="s">
        <v>54</v>
      </c>
      <c r="H38" s="99">
        <v>1</v>
      </c>
      <c r="I38" s="84"/>
      <c r="J38" s="84"/>
      <c r="K38" s="84"/>
    </row>
    <row r="39" spans="1:11" ht="12.75">
      <c r="A39" s="96" t="s">
        <v>136</v>
      </c>
      <c r="B39" s="134" t="s">
        <v>48</v>
      </c>
      <c r="C39" s="97" t="s">
        <v>54</v>
      </c>
      <c r="D39" s="98">
        <v>2</v>
      </c>
      <c r="E39" s="97" t="s">
        <v>112</v>
      </c>
      <c r="F39" s="98" t="s">
        <v>110</v>
      </c>
      <c r="G39" s="97" t="s">
        <v>112</v>
      </c>
      <c r="H39" s="98" t="s">
        <v>110</v>
      </c>
      <c r="I39" s="84"/>
      <c r="J39" s="84"/>
      <c r="K39" s="84"/>
    </row>
    <row r="40" spans="1:11" ht="12.75">
      <c r="A40" s="96" t="s">
        <v>188</v>
      </c>
      <c r="B40" s="134" t="s">
        <v>34</v>
      </c>
      <c r="C40" s="97" t="s">
        <v>54</v>
      </c>
      <c r="D40" s="98">
        <v>2</v>
      </c>
      <c r="E40" s="97" t="s">
        <v>54</v>
      </c>
      <c r="F40" s="98">
        <v>1</v>
      </c>
      <c r="G40" s="675" t="s">
        <v>54</v>
      </c>
      <c r="H40" s="99">
        <v>1</v>
      </c>
      <c r="I40" s="84"/>
      <c r="J40" s="84"/>
      <c r="K40" s="84"/>
    </row>
    <row r="41" spans="1:11" ht="12.75">
      <c r="A41" s="96" t="s">
        <v>189</v>
      </c>
      <c r="B41" s="134" t="s">
        <v>35</v>
      </c>
      <c r="C41" s="97" t="s">
        <v>306</v>
      </c>
      <c r="D41" s="98">
        <v>3</v>
      </c>
      <c r="E41" s="97" t="s">
        <v>54</v>
      </c>
      <c r="F41" s="98">
        <v>1</v>
      </c>
      <c r="G41" s="675" t="s">
        <v>54</v>
      </c>
      <c r="H41" s="99">
        <v>1</v>
      </c>
      <c r="I41" s="84"/>
      <c r="J41" s="84"/>
      <c r="K41" s="84"/>
    </row>
    <row r="42" spans="1:11" ht="12.75">
      <c r="A42" s="96" t="s">
        <v>190</v>
      </c>
      <c r="B42" s="134" t="s">
        <v>36</v>
      </c>
      <c r="C42" s="97" t="s">
        <v>76</v>
      </c>
      <c r="D42" s="98">
        <v>4</v>
      </c>
      <c r="E42" s="97" t="s">
        <v>54</v>
      </c>
      <c r="F42" s="98">
        <v>1</v>
      </c>
      <c r="G42" s="675" t="s">
        <v>54</v>
      </c>
      <c r="H42" s="99">
        <v>1</v>
      </c>
      <c r="I42" s="84"/>
      <c r="J42" s="84"/>
      <c r="K42" s="84"/>
    </row>
    <row r="43" spans="1:11" ht="12.75">
      <c r="A43" s="96" t="s">
        <v>138</v>
      </c>
      <c r="B43" s="134" t="s">
        <v>55</v>
      </c>
      <c r="C43" s="97" t="s">
        <v>54</v>
      </c>
      <c r="D43" s="98">
        <v>2</v>
      </c>
      <c r="E43" s="97" t="s">
        <v>54</v>
      </c>
      <c r="F43" s="98">
        <v>1</v>
      </c>
      <c r="G43" s="97" t="s">
        <v>54</v>
      </c>
      <c r="H43" s="98">
        <v>1</v>
      </c>
      <c r="I43" s="84"/>
      <c r="J43" s="84"/>
      <c r="K43" s="84"/>
    </row>
    <row r="44" spans="1:11" ht="12.75">
      <c r="A44" s="96" t="s">
        <v>137</v>
      </c>
      <c r="B44" s="134" t="s">
        <v>49</v>
      </c>
      <c r="C44" s="97" t="s">
        <v>54</v>
      </c>
      <c r="D44" s="98">
        <v>2</v>
      </c>
      <c r="E44" s="97" t="s">
        <v>54</v>
      </c>
      <c r="F44" s="98">
        <v>1</v>
      </c>
      <c r="G44" s="675" t="s">
        <v>54</v>
      </c>
      <c r="H44" s="99">
        <v>1</v>
      </c>
      <c r="I44" s="84"/>
      <c r="J44" s="84"/>
      <c r="K44" s="84"/>
    </row>
    <row r="45" spans="1:11" ht="12.75">
      <c r="A45" s="96" t="s">
        <v>330</v>
      </c>
      <c r="B45" s="134" t="s">
        <v>45</v>
      </c>
      <c r="C45" s="97" t="s">
        <v>54</v>
      </c>
      <c r="D45" s="98">
        <v>2</v>
      </c>
      <c r="E45" s="97" t="s">
        <v>54</v>
      </c>
      <c r="F45" s="98">
        <v>1</v>
      </c>
      <c r="G45" s="675" t="s">
        <v>54</v>
      </c>
      <c r="H45" s="99">
        <v>1</v>
      </c>
      <c r="I45" s="84"/>
      <c r="J45" s="84"/>
      <c r="K45" s="84"/>
    </row>
    <row r="46" spans="1:11" ht="12.75">
      <c r="A46" s="96" t="s">
        <v>134</v>
      </c>
      <c r="B46" s="134" t="s">
        <v>46</v>
      </c>
      <c r="C46" s="97" t="s">
        <v>54</v>
      </c>
      <c r="D46" s="98">
        <v>2</v>
      </c>
      <c r="E46" s="97" t="s">
        <v>54</v>
      </c>
      <c r="F46" s="98">
        <v>1</v>
      </c>
      <c r="G46" s="97" t="s">
        <v>54</v>
      </c>
      <c r="H46" s="98">
        <v>1</v>
      </c>
      <c r="I46" s="84"/>
      <c r="J46" s="84"/>
      <c r="K46" s="84"/>
    </row>
    <row r="47" spans="1:11" ht="12.75">
      <c r="A47" s="96" t="s">
        <v>135</v>
      </c>
      <c r="B47" s="134" t="s">
        <v>47</v>
      </c>
      <c r="C47" s="97" t="s">
        <v>54</v>
      </c>
      <c r="D47" s="98">
        <v>2</v>
      </c>
      <c r="E47" s="97" t="s">
        <v>54</v>
      </c>
      <c r="F47" s="98">
        <v>1</v>
      </c>
      <c r="G47" s="675" t="s">
        <v>54</v>
      </c>
      <c r="H47" s="99">
        <v>1</v>
      </c>
      <c r="I47" s="84"/>
      <c r="J47" s="84"/>
      <c r="K47" s="84"/>
    </row>
    <row r="48" spans="1:11" ht="12.75">
      <c r="A48" s="96" t="s">
        <v>139</v>
      </c>
      <c r="B48" s="134" t="s">
        <v>56</v>
      </c>
      <c r="C48" s="97" t="s">
        <v>54</v>
      </c>
      <c r="D48" s="98">
        <v>2</v>
      </c>
      <c r="E48" s="97" t="s">
        <v>54</v>
      </c>
      <c r="F48" s="98">
        <v>1</v>
      </c>
      <c r="G48" s="97" t="s">
        <v>54</v>
      </c>
      <c r="H48" s="98">
        <v>1</v>
      </c>
      <c r="I48" s="84"/>
      <c r="J48" s="84"/>
      <c r="K48" s="84"/>
    </row>
    <row r="49" spans="1:11" ht="12.75">
      <c r="A49" s="96" t="s">
        <v>140</v>
      </c>
      <c r="B49" s="134" t="s">
        <v>57</v>
      </c>
      <c r="C49" s="97" t="s">
        <v>54</v>
      </c>
      <c r="D49" s="98">
        <v>2</v>
      </c>
      <c r="E49" s="97" t="s">
        <v>54</v>
      </c>
      <c r="F49" s="98">
        <v>1</v>
      </c>
      <c r="G49" s="97" t="s">
        <v>54</v>
      </c>
      <c r="H49" s="98">
        <v>1</v>
      </c>
      <c r="I49" s="84"/>
      <c r="J49" s="84"/>
      <c r="K49" s="84"/>
    </row>
    <row r="50" spans="1:11" ht="13.5" thickBot="1">
      <c r="A50" s="672" t="s">
        <v>327</v>
      </c>
      <c r="B50" s="673" t="s">
        <v>112</v>
      </c>
      <c r="C50" s="677" t="s">
        <v>54</v>
      </c>
      <c r="D50" s="151">
        <v>2</v>
      </c>
      <c r="E50" s="677" t="s">
        <v>54</v>
      </c>
      <c r="F50" s="151">
        <v>1</v>
      </c>
      <c r="G50" s="677" t="s">
        <v>54</v>
      </c>
      <c r="H50" s="151">
        <v>1</v>
      </c>
      <c r="I50" s="84"/>
      <c r="J50" s="84"/>
      <c r="K50" s="84"/>
    </row>
    <row r="51" spans="1:11" ht="13.5" thickBot="1">
      <c r="A51" s="662" t="s">
        <v>125</v>
      </c>
      <c r="B51" s="663"/>
      <c r="C51" s="664"/>
      <c r="D51" s="665"/>
      <c r="E51" s="666"/>
      <c r="F51" s="667"/>
      <c r="G51" s="668"/>
      <c r="H51" s="669"/>
      <c r="I51" s="84"/>
      <c r="J51" s="84"/>
      <c r="K51" s="84"/>
    </row>
    <row r="52" spans="1:11" ht="12.75">
      <c r="A52" s="87" t="s">
        <v>185</v>
      </c>
      <c r="B52" s="671" t="s">
        <v>62</v>
      </c>
      <c r="C52" s="88" t="s">
        <v>76</v>
      </c>
      <c r="D52" s="89">
        <v>4</v>
      </c>
      <c r="E52" s="88" t="s">
        <v>54</v>
      </c>
      <c r="F52" s="89">
        <v>1</v>
      </c>
      <c r="G52" s="674" t="s">
        <v>54</v>
      </c>
      <c r="H52" s="90">
        <v>1</v>
      </c>
      <c r="I52" s="84"/>
      <c r="J52" s="84"/>
      <c r="K52" s="84"/>
    </row>
    <row r="53" spans="1:11" ht="12.75">
      <c r="A53" s="96" t="s">
        <v>184</v>
      </c>
      <c r="B53" s="134" t="s">
        <v>63</v>
      </c>
      <c r="C53" s="97" t="s">
        <v>52</v>
      </c>
      <c r="D53" s="98">
        <v>6</v>
      </c>
      <c r="E53" s="97" t="s">
        <v>54</v>
      </c>
      <c r="F53" s="98">
        <v>1</v>
      </c>
      <c r="G53" s="675" t="s">
        <v>54</v>
      </c>
      <c r="H53" s="99">
        <v>1</v>
      </c>
      <c r="I53" s="84"/>
      <c r="J53" s="84"/>
      <c r="K53" s="84"/>
    </row>
    <row r="54" spans="1:11" ht="12.75">
      <c r="A54" s="96" t="s">
        <v>182</v>
      </c>
      <c r="B54" s="134" t="s">
        <v>65</v>
      </c>
      <c r="C54" s="97" t="s">
        <v>307</v>
      </c>
      <c r="D54" s="98">
        <v>5</v>
      </c>
      <c r="E54" s="97" t="s">
        <v>54</v>
      </c>
      <c r="F54" s="98">
        <v>1</v>
      </c>
      <c r="G54" s="675" t="s">
        <v>54</v>
      </c>
      <c r="H54" s="99">
        <v>1</v>
      </c>
      <c r="I54" s="84"/>
      <c r="J54" s="84"/>
      <c r="K54" s="84"/>
    </row>
    <row r="55" spans="1:11" ht="12.75">
      <c r="A55" s="96" t="s">
        <v>181</v>
      </c>
      <c r="B55" s="134" t="s">
        <v>58</v>
      </c>
      <c r="C55" s="97" t="s">
        <v>52</v>
      </c>
      <c r="D55" s="98">
        <v>6</v>
      </c>
      <c r="E55" s="97" t="s">
        <v>54</v>
      </c>
      <c r="F55" s="98">
        <v>1</v>
      </c>
      <c r="G55" s="675" t="s">
        <v>54</v>
      </c>
      <c r="H55" s="99">
        <v>1</v>
      </c>
      <c r="I55" s="84"/>
      <c r="J55" s="84"/>
      <c r="K55" s="84"/>
    </row>
    <row r="56" spans="1:11" ht="12.75">
      <c r="A56" s="96" t="s">
        <v>183</v>
      </c>
      <c r="B56" s="134" t="s">
        <v>64</v>
      </c>
      <c r="C56" s="97" t="s">
        <v>54</v>
      </c>
      <c r="D56" s="98">
        <v>2</v>
      </c>
      <c r="E56" s="97" t="s">
        <v>112</v>
      </c>
      <c r="F56" s="98" t="s">
        <v>110</v>
      </c>
      <c r="G56" s="97" t="s">
        <v>112</v>
      </c>
      <c r="H56" s="98" t="s">
        <v>110</v>
      </c>
      <c r="I56" s="84"/>
      <c r="J56" s="84"/>
      <c r="K56" s="84"/>
    </row>
    <row r="57" spans="1:11" ht="12.75">
      <c r="A57" s="96" t="s">
        <v>187</v>
      </c>
      <c r="B57" s="134" t="s">
        <v>19</v>
      </c>
      <c r="C57" s="97" t="s">
        <v>76</v>
      </c>
      <c r="D57" s="98">
        <v>4</v>
      </c>
      <c r="E57" s="97" t="s">
        <v>54</v>
      </c>
      <c r="F57" s="98">
        <v>1</v>
      </c>
      <c r="G57" s="675" t="s">
        <v>54</v>
      </c>
      <c r="H57" s="99">
        <v>1</v>
      </c>
      <c r="I57" s="84"/>
      <c r="J57" s="84"/>
      <c r="K57" s="84"/>
    </row>
    <row r="58" spans="1:11" ht="12.75">
      <c r="A58" s="96" t="s">
        <v>186</v>
      </c>
      <c r="B58" s="134" t="s">
        <v>59</v>
      </c>
      <c r="C58" s="97" t="s">
        <v>76</v>
      </c>
      <c r="D58" s="98">
        <v>4</v>
      </c>
      <c r="E58" s="97" t="s">
        <v>54</v>
      </c>
      <c r="F58" s="98">
        <v>1</v>
      </c>
      <c r="G58" s="675" t="s">
        <v>54</v>
      </c>
      <c r="H58" s="99">
        <v>1</v>
      </c>
      <c r="I58" s="84"/>
      <c r="J58" s="84"/>
      <c r="K58" s="84"/>
    </row>
    <row r="59" spans="1:11" ht="12.75">
      <c r="A59" s="96" t="s">
        <v>292</v>
      </c>
      <c r="B59" s="134" t="s">
        <v>56</v>
      </c>
      <c r="C59" s="97" t="s">
        <v>54</v>
      </c>
      <c r="D59" s="98">
        <v>2</v>
      </c>
      <c r="E59" s="97" t="s">
        <v>54</v>
      </c>
      <c r="F59" s="98">
        <v>1</v>
      </c>
      <c r="G59" s="675" t="s">
        <v>54</v>
      </c>
      <c r="H59" s="99">
        <v>1</v>
      </c>
      <c r="I59" s="84"/>
      <c r="J59" s="84"/>
      <c r="K59" s="84"/>
    </row>
    <row r="60" spans="1:11" ht="12.75">
      <c r="A60" s="96" t="s">
        <v>180</v>
      </c>
      <c r="B60" s="134" t="s">
        <v>43</v>
      </c>
      <c r="C60" s="97" t="s">
        <v>52</v>
      </c>
      <c r="D60" s="98">
        <v>6</v>
      </c>
      <c r="E60" s="97" t="s">
        <v>76</v>
      </c>
      <c r="F60" s="98">
        <v>2</v>
      </c>
      <c r="G60" s="675" t="s">
        <v>54</v>
      </c>
      <c r="H60" s="99">
        <v>1</v>
      </c>
      <c r="I60" s="84"/>
      <c r="J60" s="84"/>
      <c r="K60" s="84"/>
    </row>
    <row r="61" spans="1:11" ht="12.75">
      <c r="A61" s="96" t="s">
        <v>179</v>
      </c>
      <c r="B61" s="134" t="s">
        <v>44</v>
      </c>
      <c r="C61" s="97" t="s">
        <v>52</v>
      </c>
      <c r="D61" s="98">
        <v>6</v>
      </c>
      <c r="E61" s="97" t="s">
        <v>76</v>
      </c>
      <c r="F61" s="98">
        <v>2</v>
      </c>
      <c r="G61" s="675" t="s">
        <v>54</v>
      </c>
      <c r="H61" s="99">
        <v>1</v>
      </c>
      <c r="I61" s="84"/>
      <c r="J61" s="84"/>
      <c r="K61" s="84"/>
    </row>
    <row r="62" spans="1:11" ht="12.75">
      <c r="A62" s="96" t="s">
        <v>176</v>
      </c>
      <c r="B62" s="134" t="s">
        <v>61</v>
      </c>
      <c r="C62" s="97" t="s">
        <v>54</v>
      </c>
      <c r="D62" s="98">
        <v>2</v>
      </c>
      <c r="E62" s="97" t="s">
        <v>54</v>
      </c>
      <c r="F62" s="98">
        <v>1</v>
      </c>
      <c r="G62" s="675" t="s">
        <v>54</v>
      </c>
      <c r="H62" s="99">
        <v>1</v>
      </c>
      <c r="I62" s="84"/>
      <c r="J62" s="84"/>
      <c r="K62" s="84"/>
    </row>
    <row r="63" spans="1:11" ht="12.75">
      <c r="A63" s="96" t="s">
        <v>173</v>
      </c>
      <c r="B63" s="134" t="s">
        <v>66</v>
      </c>
      <c r="C63" s="97" t="s">
        <v>133</v>
      </c>
      <c r="D63" s="98">
        <v>0</v>
      </c>
      <c r="E63" s="97" t="s">
        <v>54</v>
      </c>
      <c r="F63" s="98">
        <v>1</v>
      </c>
      <c r="G63" s="675" t="s">
        <v>54</v>
      </c>
      <c r="H63" s="99">
        <v>1</v>
      </c>
      <c r="I63" s="84"/>
      <c r="J63" s="84"/>
      <c r="K63" s="84"/>
    </row>
    <row r="64" spans="1:11" ht="12.75">
      <c r="A64" s="96" t="s">
        <v>174</v>
      </c>
      <c r="B64" s="134" t="s">
        <v>67</v>
      </c>
      <c r="C64" s="97" t="s">
        <v>54</v>
      </c>
      <c r="D64" s="98">
        <v>2</v>
      </c>
      <c r="E64" s="97" t="s">
        <v>54</v>
      </c>
      <c r="F64" s="98">
        <v>1</v>
      </c>
      <c r="G64" s="675" t="s">
        <v>54</v>
      </c>
      <c r="H64" s="99">
        <v>1</v>
      </c>
      <c r="I64" s="84"/>
      <c r="J64" s="84"/>
      <c r="K64" s="84"/>
    </row>
    <row r="65" spans="1:11" ht="12.75">
      <c r="A65" s="96" t="s">
        <v>175</v>
      </c>
      <c r="B65" s="134" t="s">
        <v>67</v>
      </c>
      <c r="C65" s="97" t="s">
        <v>76</v>
      </c>
      <c r="D65" s="98">
        <v>4</v>
      </c>
      <c r="E65" s="97" t="s">
        <v>54</v>
      </c>
      <c r="F65" s="98">
        <v>1</v>
      </c>
      <c r="G65" s="675" t="s">
        <v>54</v>
      </c>
      <c r="H65" s="99">
        <v>1</v>
      </c>
      <c r="I65" s="84"/>
      <c r="J65" s="84"/>
      <c r="K65" s="84"/>
    </row>
    <row r="66" spans="1:11" ht="12.75">
      <c r="A66" s="96" t="s">
        <v>177</v>
      </c>
      <c r="B66" s="134" t="s">
        <v>60</v>
      </c>
      <c r="C66" s="97" t="s">
        <v>76</v>
      </c>
      <c r="D66" s="98">
        <v>4</v>
      </c>
      <c r="E66" s="97" t="s">
        <v>54</v>
      </c>
      <c r="F66" s="98">
        <v>1</v>
      </c>
      <c r="G66" s="675" t="s">
        <v>54</v>
      </c>
      <c r="H66" s="99">
        <v>1</v>
      </c>
      <c r="I66" s="84"/>
      <c r="J66" s="84"/>
      <c r="K66" s="84"/>
    </row>
    <row r="67" spans="1:8" ht="12.75">
      <c r="A67" s="96" t="s">
        <v>178</v>
      </c>
      <c r="B67" s="134" t="s">
        <v>68</v>
      </c>
      <c r="C67" s="97" t="s">
        <v>54</v>
      </c>
      <c r="D67" s="98">
        <v>2</v>
      </c>
      <c r="E67" s="97" t="s">
        <v>54</v>
      </c>
      <c r="F67" s="98">
        <v>1</v>
      </c>
      <c r="G67" s="675" t="s">
        <v>54</v>
      </c>
      <c r="H67" s="99">
        <v>1</v>
      </c>
    </row>
    <row r="68" spans="1:8" ht="13.5" thickBot="1">
      <c r="A68" s="672" t="s">
        <v>328</v>
      </c>
      <c r="B68" s="673" t="s">
        <v>112</v>
      </c>
      <c r="C68" s="677" t="s">
        <v>54</v>
      </c>
      <c r="D68" s="151">
        <v>2</v>
      </c>
      <c r="E68" s="677" t="s">
        <v>54</v>
      </c>
      <c r="F68" s="151">
        <v>1</v>
      </c>
      <c r="G68" s="677" t="s">
        <v>54</v>
      </c>
      <c r="H68" s="151">
        <v>1</v>
      </c>
    </row>
    <row r="69" ht="12.75">
      <c r="H69" s="153"/>
    </row>
  </sheetData>
  <sheetProtection password="E252" sheet="1" objects="1" selectLockedCells="1" selectUnlockedCells="1"/>
  <mergeCells count="3">
    <mergeCell ref="C2:D2"/>
    <mergeCell ref="E2:F2"/>
    <mergeCell ref="G2:H2"/>
  </mergeCells>
  <printOptions/>
  <pageMargins left="0.7" right="0.7" top="0.75" bottom="0.75" header="0.3" footer="0.3"/>
  <pageSetup horizontalDpi="600" verticalDpi="600" orientation="landscape" paperSize="9" scale="68" r:id="rId1"/>
  <rowBreaks count="1" manualBreakCount="1">
    <brk id="49" max="255" man="1"/>
  </rowBreaks>
  <colBreaks count="1" manualBreakCount="1">
    <brk id="8" max="124" man="1"/>
  </colBreaks>
</worksheet>
</file>

<file path=xl/worksheets/sheet5.xml><?xml version="1.0" encoding="utf-8"?>
<worksheet xmlns="http://schemas.openxmlformats.org/spreadsheetml/2006/main" xmlns:r="http://schemas.openxmlformats.org/officeDocument/2006/relationships">
  <dimension ref="A1:J92"/>
  <sheetViews>
    <sheetView zoomScalePageLayoutView="0" workbookViewId="0" topLeftCell="A79">
      <selection activeCell="H84" sqref="H84"/>
    </sheetView>
  </sheetViews>
  <sheetFormatPr defaultColWidth="9.140625" defaultRowHeight="12.75"/>
  <cols>
    <col min="1" max="1" width="2.8515625" style="0" customWidth="1"/>
    <col min="2" max="2" width="44.28125" style="0" customWidth="1"/>
    <col min="3" max="3" width="9.28125" style="0" customWidth="1"/>
    <col min="4" max="4" width="13.57421875" style="0" customWidth="1"/>
    <col min="5" max="8" width="18.57421875" style="0" customWidth="1"/>
    <col min="9" max="9" width="18.57421875" style="7" customWidth="1"/>
    <col min="10" max="10" width="10.7109375" style="7" customWidth="1"/>
    <col min="11" max="26" width="9.140625" style="7" customWidth="1"/>
  </cols>
  <sheetData>
    <row r="1" spans="1:8" ht="12.75">
      <c r="A1" s="7"/>
      <c r="B1" s="7"/>
      <c r="C1" s="7"/>
      <c r="D1" s="7"/>
      <c r="E1" s="7"/>
      <c r="F1" s="7"/>
      <c r="G1" s="7"/>
      <c r="H1" s="7"/>
    </row>
    <row r="2" spans="1:8" ht="12.75">
      <c r="A2" s="7"/>
      <c r="B2" s="824" t="s">
        <v>261</v>
      </c>
      <c r="C2" s="824"/>
      <c r="D2" s="824"/>
      <c r="E2" s="824"/>
      <c r="F2" s="824"/>
      <c r="G2" s="824"/>
      <c r="H2" s="7"/>
    </row>
    <row r="3" spans="1:8" ht="13.5" thickBot="1">
      <c r="A3" s="7"/>
      <c r="B3" s="11" t="s">
        <v>214</v>
      </c>
      <c r="C3" s="7"/>
      <c r="D3" s="7"/>
      <c r="E3" s="7"/>
      <c r="F3" s="7"/>
      <c r="G3" s="7"/>
      <c r="H3" s="7"/>
    </row>
    <row r="4" spans="1:9" ht="53.25" thickBot="1">
      <c r="A4" s="12"/>
      <c r="B4" s="19" t="s">
        <v>215</v>
      </c>
      <c r="C4" s="16" t="s">
        <v>297</v>
      </c>
      <c r="D4" s="27" t="s">
        <v>0</v>
      </c>
      <c r="E4" s="29" t="s">
        <v>218</v>
      </c>
      <c r="F4" s="30" t="s">
        <v>314</v>
      </c>
      <c r="G4" s="30" t="s">
        <v>217</v>
      </c>
      <c r="H4" s="30" t="s">
        <v>315</v>
      </c>
      <c r="I4" s="31" t="s">
        <v>216</v>
      </c>
    </row>
    <row r="5" spans="1:9" ht="13.5" thickBot="1">
      <c r="A5" s="12"/>
      <c r="B5" s="22" t="s">
        <v>295</v>
      </c>
      <c r="C5" s="14"/>
      <c r="D5" s="27"/>
      <c r="E5" s="395"/>
      <c r="F5" s="16"/>
      <c r="G5" s="16"/>
      <c r="H5" s="27"/>
      <c r="I5" s="396"/>
    </row>
    <row r="6" spans="1:9" ht="12.75">
      <c r="A6" s="7"/>
      <c r="B6" s="436" t="str">
        <f>'Biodiversity Impact Assessment'!D15</f>
        <v>Woodland: Dense continuous scrub</v>
      </c>
      <c r="C6" s="397">
        <f>'Biodiversity Impact Assessment'!N15</f>
        <v>3.56309</v>
      </c>
      <c r="D6" s="398" t="str">
        <f>'Biodiversity Impact Assessment'!F15</f>
        <v>Medium-Low</v>
      </c>
      <c r="E6" s="429" t="str">
        <f>IF(D6="High",'Biodiversity Impact Assessment'!O15,"0.00")</f>
        <v>0.00</v>
      </c>
      <c r="F6" s="430" t="str">
        <f>IF(D6="Medium-High",'Biodiversity Impact Assessment'!O15,"0.00")</f>
        <v>0.00</v>
      </c>
      <c r="G6" s="430" t="str">
        <f>IF(D6="Medium",'Biodiversity Impact Assessment'!O15,"0.00")</f>
        <v>0.00</v>
      </c>
      <c r="H6" s="430">
        <f>IF(D6="Medium-Low",'Biodiversity Impact Assessment'!O15,"0.00")</f>
        <v>10.68927</v>
      </c>
      <c r="I6" s="431" t="str">
        <f>IF(D6="Low",'Biodiversity Impact Assessment'!O15,"0.00")</f>
        <v>0.00</v>
      </c>
    </row>
    <row r="7" spans="1:9" ht="12.75">
      <c r="A7" s="7"/>
      <c r="B7" s="437" t="str">
        <f>'Biodiversity Impact Assessment'!D16</f>
        <v>Grassland: Poor semi-improved grassland</v>
      </c>
      <c r="C7" s="399">
        <f>'Biodiversity Impact Assessment'!N16</f>
        <v>2.2738000000000005</v>
      </c>
      <c r="D7" s="400" t="str">
        <f>'Biodiversity Impact Assessment'!F16</f>
        <v>Medium-Low</v>
      </c>
      <c r="E7" s="432" t="str">
        <f>IF(D7="High",'Biodiversity Impact Assessment'!O16,"0.00")</f>
        <v>0.00</v>
      </c>
      <c r="F7" s="433" t="str">
        <f>IF(D7="Medium-High",'Biodiversity Impact Assessment'!O16,"0.00")</f>
        <v>0.00</v>
      </c>
      <c r="G7" s="433" t="str">
        <f>IF(D7="Medium",'Biodiversity Impact Assessment'!O16,"0.00")</f>
        <v>0.00</v>
      </c>
      <c r="H7" s="433">
        <f>IF(D7="Medium-Low",'Biodiversity Impact Assessment'!O16,"0.00")</f>
        <v>13.642800000000003</v>
      </c>
      <c r="I7" s="434" t="str">
        <f>IF(D7="Low",'Biodiversity Impact Assessment'!O16,"0.00")</f>
        <v>0.00</v>
      </c>
    </row>
    <row r="8" spans="1:9" ht="12.75">
      <c r="A8" s="7"/>
      <c r="B8" s="437" t="str">
        <f>'Biodiversity Impact Assessment'!D17</f>
        <v>Grassland: Semi-improved neutral grassland</v>
      </c>
      <c r="C8" s="399">
        <f>'Biodiversity Impact Assessment'!N17</f>
        <v>0.9544100000000002</v>
      </c>
      <c r="D8" s="400" t="str">
        <f>'Biodiversity Impact Assessment'!F17</f>
        <v>Medium</v>
      </c>
      <c r="E8" s="432" t="str">
        <f>IF(D8="High",'Biodiversity Impact Assessment'!O17,"0.00")</f>
        <v>0.00</v>
      </c>
      <c r="F8" s="433" t="str">
        <f>IF(D8="Medium-High",'Biodiversity Impact Assessment'!O17,"0.00")</f>
        <v>0.00</v>
      </c>
      <c r="G8" s="433">
        <f>IF(D8="Medium",'Biodiversity Impact Assessment'!O17,"0.00")</f>
        <v>3.817640000000001</v>
      </c>
      <c r="H8" s="433" t="str">
        <f>IF(D8="Medium-Low",'Biodiversity Impact Assessment'!O17,"0.00")</f>
        <v>0.00</v>
      </c>
      <c r="I8" s="434" t="str">
        <f>IF(D8="Low",'Biodiversity Impact Assessment'!O17,"0.00")</f>
        <v>0.00</v>
      </c>
    </row>
    <row r="9" spans="1:9" ht="12.75">
      <c r="A9" s="7"/>
      <c r="B9" s="437" t="str">
        <f>'Biodiversity Impact Assessment'!D18</f>
        <v>Wetland: Standing water</v>
      </c>
      <c r="C9" s="399">
        <f>'Biodiversity Impact Assessment'!N18</f>
        <v>0.01305</v>
      </c>
      <c r="D9" s="400" t="str">
        <f>'Biodiversity Impact Assessment'!F18</f>
        <v>High</v>
      </c>
      <c r="E9" s="432">
        <f>IF(D9="High",'Biodiversity Impact Assessment'!O18,"0.00")</f>
        <v>0.15660000000000002</v>
      </c>
      <c r="F9" s="433" t="str">
        <f>IF(D9="Medium-High",'Biodiversity Impact Assessment'!O18,"0.00")</f>
        <v>0.00</v>
      </c>
      <c r="G9" s="433" t="str">
        <f>IF(D9="Medium",'Biodiversity Impact Assessment'!O18,"0.00")</f>
        <v>0.00</v>
      </c>
      <c r="H9" s="433" t="str">
        <f>IF(D9="Medium-Low",'Biodiversity Impact Assessment'!O18,"0.00")</f>
        <v>0.00</v>
      </c>
      <c r="I9" s="434" t="str">
        <f>IF(D9="Low",'Biodiversity Impact Assessment'!O18,"0.00")</f>
        <v>0.00</v>
      </c>
    </row>
    <row r="10" spans="1:9" ht="12.75">
      <c r="A10" s="7"/>
      <c r="B10" s="437" t="str">
        <f>'Biodiversity Impact Assessment'!D19</f>
        <v>Woodland: Broad-leaved semi-natural woodland</v>
      </c>
      <c r="C10" s="399">
        <f>'Biodiversity Impact Assessment'!N19</f>
      </c>
      <c r="D10" s="400" t="str">
        <f>'Biodiversity Impact Assessment'!F19</f>
        <v>High</v>
      </c>
      <c r="E10" s="432">
        <f>IF(D10="High",'Biodiversity Impact Assessment'!O19,"0.00")</f>
      </c>
      <c r="F10" s="433" t="str">
        <f>IF(D10="Medium-High",'Biodiversity Impact Assessment'!O19,"0.00")</f>
        <v>0.00</v>
      </c>
      <c r="G10" s="433" t="str">
        <f>IF(D10="Medium",'Biodiversity Impact Assessment'!O19,"0.00")</f>
        <v>0.00</v>
      </c>
      <c r="H10" s="433" t="str">
        <f>IF(D10="Medium-Low",'Biodiversity Impact Assessment'!O19,"0.00")</f>
        <v>0.00</v>
      </c>
      <c r="I10" s="434" t="str">
        <f>IF(D10="Low",'Biodiversity Impact Assessment'!O19,"0.00")</f>
        <v>0.00</v>
      </c>
    </row>
    <row r="11" spans="1:9" ht="12.75">
      <c r="A11" s="7"/>
      <c r="B11" s="437" t="str">
        <f>'Biodiversity Impact Assessment'!D20</f>
        <v>Wetland: Swamp</v>
      </c>
      <c r="C11" s="399">
        <f>'Biodiversity Impact Assessment'!N20</f>
      </c>
      <c r="D11" s="400" t="str">
        <f>'Biodiversity Impact Assessment'!F20</f>
        <v>High</v>
      </c>
      <c r="E11" s="432">
        <f>IF(D11="High",'Biodiversity Impact Assessment'!O20,"0.00")</f>
      </c>
      <c r="F11" s="433" t="str">
        <f>IF(D11="Medium-High",'Biodiversity Impact Assessment'!O20,"0.00")</f>
        <v>0.00</v>
      </c>
      <c r="G11" s="433" t="str">
        <f>IF(D11="Medium",'Biodiversity Impact Assessment'!O20,"0.00")</f>
        <v>0.00</v>
      </c>
      <c r="H11" s="433" t="str">
        <f>IF(D11="Medium-Low",'Biodiversity Impact Assessment'!O20,"0.00")</f>
        <v>0.00</v>
      </c>
      <c r="I11" s="434" t="str">
        <f>IF(D11="Low",'Biodiversity Impact Assessment'!O20,"0.00")</f>
        <v>0.00</v>
      </c>
    </row>
    <row r="12" spans="1:9" ht="12.75">
      <c r="A12" s="7"/>
      <c r="B12" s="437" t="str">
        <f>'Biodiversity Impact Assessment'!D21</f>
        <v>Other: Tall ruderal</v>
      </c>
      <c r="C12" s="399">
        <f>'Biodiversity Impact Assessment'!N21</f>
        <v>0.49241</v>
      </c>
      <c r="D12" s="400" t="str">
        <f>'Biodiversity Impact Assessment'!F21</f>
        <v>Medium-Low</v>
      </c>
      <c r="E12" s="432" t="str">
        <f>IF(D12="High",'Biodiversity Impact Assessment'!O21,"0.00")</f>
        <v>0.00</v>
      </c>
      <c r="F12" s="433" t="str">
        <f>IF(D12="Medium-High",'Biodiversity Impact Assessment'!O21,"0.00")</f>
        <v>0.00</v>
      </c>
      <c r="G12" s="433" t="str">
        <f>IF(D12="Medium",'Biodiversity Impact Assessment'!O21,"0.00")</f>
        <v>0.00</v>
      </c>
      <c r="H12" s="433">
        <f>IF(D12="Medium-Low",'Biodiversity Impact Assessment'!O21,"0.00")</f>
        <v>2.95446</v>
      </c>
      <c r="I12" s="434" t="str">
        <f>IF(D12="Low",'Biodiversity Impact Assessment'!O21,"0.00")</f>
        <v>0.00</v>
      </c>
    </row>
    <row r="13" spans="1:9" ht="12.75">
      <c r="A13" s="7"/>
      <c r="B13" s="437" t="str">
        <f>'Biodiversity Impact Assessment'!D22</f>
        <v>Grassland: Marsh / Marshy grassland</v>
      </c>
      <c r="C13" s="399">
        <f>'Biodiversity Impact Assessment'!N22</f>
        <v>0.71292</v>
      </c>
      <c r="D13" s="400" t="str">
        <f>'Biodiversity Impact Assessment'!F22</f>
        <v>High</v>
      </c>
      <c r="E13" s="432">
        <f>IF(D13="High",'Biodiversity Impact Assessment'!O22,"0.00")</f>
        <v>4.27752</v>
      </c>
      <c r="F13" s="433" t="str">
        <f>IF(D13="Medium-High",'Biodiversity Impact Assessment'!O22,"0.00")</f>
        <v>0.00</v>
      </c>
      <c r="G13" s="433" t="str">
        <f>IF(D13="Medium",'Biodiversity Impact Assessment'!O22,"0.00")</f>
        <v>0.00</v>
      </c>
      <c r="H13" s="433" t="str">
        <f>IF(D13="Medium-Low",'Biodiversity Impact Assessment'!O22,"0.00")</f>
        <v>0.00</v>
      </c>
      <c r="I13" s="434" t="str">
        <f>IF(D13="Low",'Biodiversity Impact Assessment'!O22,"0.00")</f>
        <v>0.00</v>
      </c>
    </row>
    <row r="14" spans="1:9" ht="12.75">
      <c r="A14" s="7"/>
      <c r="B14" s="437" t="str">
        <f>'Biodiversity Impact Assessment'!D23</f>
        <v>Grassland: Marsh / Marshy grassland</v>
      </c>
      <c r="C14" s="399">
        <f>'Biodiversity Impact Assessment'!N23</f>
        <v>0.17075</v>
      </c>
      <c r="D14" s="400" t="str">
        <f>'Biodiversity Impact Assessment'!F23</f>
        <v>High</v>
      </c>
      <c r="E14" s="432">
        <f>IF(D14="High",'Biodiversity Impact Assessment'!O23,"0.00")</f>
        <v>2.0490000000000004</v>
      </c>
      <c r="F14" s="433" t="str">
        <f>IF(D14="Medium-High",'Biodiversity Impact Assessment'!O23,"0.00")</f>
        <v>0.00</v>
      </c>
      <c r="G14" s="433" t="str">
        <f>IF(D14="Medium",'Biodiversity Impact Assessment'!O23,"0.00")</f>
        <v>0.00</v>
      </c>
      <c r="H14" s="433" t="str">
        <f>IF(D14="Medium-Low",'Biodiversity Impact Assessment'!O23,"0.00")</f>
        <v>0.00</v>
      </c>
      <c r="I14" s="434" t="str">
        <f>IF(D14="Low",'Biodiversity Impact Assessment'!O23,"0.00")</f>
        <v>0.00</v>
      </c>
    </row>
    <row r="15" spans="1:9" ht="12.75">
      <c r="A15" s="7"/>
      <c r="B15" s="437">
        <f>'Biodiversity Impact Assessment'!D24</f>
        <v>0</v>
      </c>
      <c r="C15" s="399">
        <f>'Biodiversity Impact Assessment'!N24</f>
      </c>
      <c r="D15" s="400">
        <f>'Biodiversity Impact Assessment'!F24</f>
      </c>
      <c r="E15" s="432" t="str">
        <f>IF(D15="High",'Biodiversity Impact Assessment'!O24,"0.00")</f>
        <v>0.00</v>
      </c>
      <c r="F15" s="433" t="str">
        <f>IF(D15="Medium-High",'Biodiversity Impact Assessment'!O24,"0.00")</f>
        <v>0.00</v>
      </c>
      <c r="G15" s="433" t="str">
        <f>IF(D15="Medium",'Biodiversity Impact Assessment'!O24,"0.00")</f>
        <v>0.00</v>
      </c>
      <c r="H15" s="433" t="str">
        <f>IF(D15="Medium-Low",'Biodiversity Impact Assessment'!O24,"0.00")</f>
        <v>0.00</v>
      </c>
      <c r="I15" s="434" t="str">
        <f>IF(D15="Low",'Biodiversity Impact Assessment'!O24,"0.00")</f>
        <v>0.00</v>
      </c>
    </row>
    <row r="16" spans="1:9" ht="12.75">
      <c r="A16" s="7"/>
      <c r="B16" s="437">
        <f>'Biodiversity Impact Assessment'!D25</f>
        <v>0</v>
      </c>
      <c r="C16" s="399">
        <f>'Biodiversity Impact Assessment'!N25</f>
      </c>
      <c r="D16" s="400">
        <f>'Biodiversity Impact Assessment'!F25</f>
      </c>
      <c r="E16" s="432" t="str">
        <f>IF(D16="High",'Biodiversity Impact Assessment'!O25,"0.00")</f>
        <v>0.00</v>
      </c>
      <c r="F16" s="433" t="str">
        <f>IF(D16="Medium-High",'Biodiversity Impact Assessment'!O25,"0.00")</f>
        <v>0.00</v>
      </c>
      <c r="G16" s="433" t="str">
        <f>IF(D16="Medium",'Biodiversity Impact Assessment'!O25,"0.00")</f>
        <v>0.00</v>
      </c>
      <c r="H16" s="433" t="str">
        <f>IF(D16="Medium-Low",'Biodiversity Impact Assessment'!O25,"0.00")</f>
        <v>0.00</v>
      </c>
      <c r="I16" s="434" t="str">
        <f>IF(D16="Low",'Biodiversity Impact Assessment'!O25,"0.00")</f>
        <v>0.00</v>
      </c>
    </row>
    <row r="17" spans="1:9" ht="12.75">
      <c r="A17" s="7"/>
      <c r="B17" s="437">
        <f>'Biodiversity Impact Assessment'!D26</f>
        <v>0</v>
      </c>
      <c r="C17" s="399">
        <f>'Biodiversity Impact Assessment'!N26</f>
      </c>
      <c r="D17" s="400">
        <f>'Biodiversity Impact Assessment'!F26</f>
      </c>
      <c r="E17" s="432" t="str">
        <f>IF(D17="High",'Biodiversity Impact Assessment'!O26,"0.00")</f>
        <v>0.00</v>
      </c>
      <c r="F17" s="433" t="str">
        <f>IF(D17="Medium-High",'Biodiversity Impact Assessment'!O26,"0.00")</f>
        <v>0.00</v>
      </c>
      <c r="G17" s="433" t="str">
        <f>IF(D17="Medium",'Biodiversity Impact Assessment'!O26,"0.00")</f>
        <v>0.00</v>
      </c>
      <c r="H17" s="433" t="str">
        <f>IF(D17="Medium-Low",'Biodiversity Impact Assessment'!O26,"0.00")</f>
        <v>0.00</v>
      </c>
      <c r="I17" s="434" t="str">
        <f>IF(D17="Low",'Biodiversity Impact Assessment'!O26,"0.00")</f>
        <v>0.00</v>
      </c>
    </row>
    <row r="18" spans="1:9" ht="12.75">
      <c r="A18" s="7"/>
      <c r="B18" s="437">
        <f>'Biodiversity Impact Assessment'!D27</f>
        <v>0</v>
      </c>
      <c r="C18" s="399">
        <f>'Biodiversity Impact Assessment'!N27</f>
      </c>
      <c r="D18" s="400">
        <f>'Biodiversity Impact Assessment'!F27</f>
      </c>
      <c r="E18" s="432" t="str">
        <f>IF(D18="High",'Biodiversity Impact Assessment'!O27,"0.00")</f>
        <v>0.00</v>
      </c>
      <c r="F18" s="433" t="str">
        <f>IF(D18="Medium-High",'Biodiversity Impact Assessment'!O27,"0.00")</f>
        <v>0.00</v>
      </c>
      <c r="G18" s="433" t="str">
        <f>IF(D18="Medium",'Biodiversity Impact Assessment'!O27,"0.00")</f>
        <v>0.00</v>
      </c>
      <c r="H18" s="433" t="str">
        <f>IF(D18="Medium-Low",'Biodiversity Impact Assessment'!O27,"0.00")</f>
        <v>0.00</v>
      </c>
      <c r="I18" s="434" t="str">
        <f>IF(D18="Low",'Biodiversity Impact Assessment'!O27,"0.00")</f>
        <v>0.00</v>
      </c>
    </row>
    <row r="19" spans="1:9" ht="12.75">
      <c r="A19" s="7"/>
      <c r="B19" s="437">
        <f>'Biodiversity Impact Assessment'!D28</f>
        <v>0</v>
      </c>
      <c r="C19" s="399">
        <f>'Biodiversity Impact Assessment'!N28</f>
      </c>
      <c r="D19" s="400">
        <f>'Biodiversity Impact Assessment'!F28</f>
      </c>
      <c r="E19" s="432" t="str">
        <f>IF(D19="High",'Biodiversity Impact Assessment'!O28,"0.00")</f>
        <v>0.00</v>
      </c>
      <c r="F19" s="433" t="str">
        <f>IF(D19="Medium-High",'Biodiversity Impact Assessment'!O28,"0.00")</f>
        <v>0.00</v>
      </c>
      <c r="G19" s="433" t="str">
        <f>IF(D19="Medium",'Biodiversity Impact Assessment'!O28,"0.00")</f>
        <v>0.00</v>
      </c>
      <c r="H19" s="433" t="str">
        <f>IF(D19="Medium-Low",'Biodiversity Impact Assessment'!O28,"0.00")</f>
        <v>0.00</v>
      </c>
      <c r="I19" s="434" t="str">
        <f>IF(D19="Low",'Biodiversity Impact Assessment'!O28,"0.00")</f>
        <v>0.00</v>
      </c>
    </row>
    <row r="20" spans="1:9" ht="12.75">
      <c r="A20" s="7"/>
      <c r="B20" s="437">
        <f>'Biodiversity Impact Assessment'!D29</f>
        <v>0</v>
      </c>
      <c r="C20" s="399">
        <f>'Biodiversity Impact Assessment'!N29</f>
      </c>
      <c r="D20" s="400">
        <f>'Biodiversity Impact Assessment'!F29</f>
      </c>
      <c r="E20" s="432" t="str">
        <f>IF(D20="High",'Biodiversity Impact Assessment'!O29,"0.00")</f>
        <v>0.00</v>
      </c>
      <c r="F20" s="433" t="str">
        <f>IF(D20="Medium-High",'Biodiversity Impact Assessment'!O29,"0.00")</f>
        <v>0.00</v>
      </c>
      <c r="G20" s="433" t="str">
        <f>IF(D20="Medium",'Biodiversity Impact Assessment'!O29,"0.00")</f>
        <v>0.00</v>
      </c>
      <c r="H20" s="433" t="str">
        <f>IF(D20="Medium-Low",'Biodiversity Impact Assessment'!O29,"0.00")</f>
        <v>0.00</v>
      </c>
      <c r="I20" s="434" t="str">
        <f>IF(D20="Low",'Biodiversity Impact Assessment'!O29,"0.00")</f>
        <v>0.00</v>
      </c>
    </row>
    <row r="21" spans="1:9" ht="12.75">
      <c r="A21" s="7"/>
      <c r="B21" s="437">
        <f>'Biodiversity Impact Assessment'!D30</f>
        <v>0</v>
      </c>
      <c r="C21" s="399">
        <f>'Biodiversity Impact Assessment'!N30</f>
      </c>
      <c r="D21" s="400">
        <f>'Biodiversity Impact Assessment'!F30</f>
      </c>
      <c r="E21" s="432" t="str">
        <f>IF(D21="High",'Biodiversity Impact Assessment'!O30,"0.00")</f>
        <v>0.00</v>
      </c>
      <c r="F21" s="433" t="str">
        <f>IF(D21="Medium-High",'Biodiversity Impact Assessment'!O30,"0.00")</f>
        <v>0.00</v>
      </c>
      <c r="G21" s="433" t="str">
        <f>IF(D21="Medium",'Biodiversity Impact Assessment'!O30,"0.00")</f>
        <v>0.00</v>
      </c>
      <c r="H21" s="433" t="str">
        <f>IF(D21="Medium-Low",'Biodiversity Impact Assessment'!O30,"0.00")</f>
        <v>0.00</v>
      </c>
      <c r="I21" s="434" t="str">
        <f>IF(D21="Low",'Biodiversity Impact Assessment'!O30,"0.00")</f>
        <v>0.00</v>
      </c>
    </row>
    <row r="22" spans="1:9" ht="12.75">
      <c r="A22" s="7"/>
      <c r="B22" s="437">
        <f>'Biodiversity Impact Assessment'!D31</f>
        <v>0</v>
      </c>
      <c r="C22" s="399">
        <f>'Biodiversity Impact Assessment'!N31</f>
      </c>
      <c r="D22" s="400">
        <f>'Biodiversity Impact Assessment'!F31</f>
      </c>
      <c r="E22" s="432" t="str">
        <f>IF(D22="High",'Biodiversity Impact Assessment'!O31,"0.00")</f>
        <v>0.00</v>
      </c>
      <c r="F22" s="433" t="str">
        <f>IF(D22="Medium-High",'Biodiversity Impact Assessment'!O31,"0.00")</f>
        <v>0.00</v>
      </c>
      <c r="G22" s="433" t="str">
        <f>IF(D22="Medium",'Biodiversity Impact Assessment'!O31,"0.00")</f>
        <v>0.00</v>
      </c>
      <c r="H22" s="433" t="str">
        <f>IF(D22="Medium-Low",'Biodiversity Impact Assessment'!O31,"0.00")</f>
        <v>0.00</v>
      </c>
      <c r="I22" s="434" t="str">
        <f>IF(D22="Low",'Biodiversity Impact Assessment'!O31,"0.00")</f>
        <v>0.00</v>
      </c>
    </row>
    <row r="23" spans="1:9" ht="12.75">
      <c r="A23" s="7"/>
      <c r="B23" s="437">
        <f>'Biodiversity Impact Assessment'!D32</f>
        <v>0</v>
      </c>
      <c r="C23" s="399">
        <f>'Biodiversity Impact Assessment'!N32</f>
      </c>
      <c r="D23" s="400">
        <f>'Biodiversity Impact Assessment'!F32</f>
      </c>
      <c r="E23" s="432" t="str">
        <f>IF(D23="High",'Biodiversity Impact Assessment'!O32,"0.00")</f>
        <v>0.00</v>
      </c>
      <c r="F23" s="433" t="str">
        <f>IF(D23="Medium-High",'Biodiversity Impact Assessment'!O32,"0.00")</f>
        <v>0.00</v>
      </c>
      <c r="G23" s="433" t="str">
        <f>IF(D23="Medium",'Biodiversity Impact Assessment'!O32,"0.00")</f>
        <v>0.00</v>
      </c>
      <c r="H23" s="433" t="str">
        <f>IF(D23="Medium-Low",'Biodiversity Impact Assessment'!O32,"0.00")</f>
        <v>0.00</v>
      </c>
      <c r="I23" s="434" t="str">
        <f>IF(D23="Low",'Biodiversity Impact Assessment'!O32,"0.00")</f>
        <v>0.00</v>
      </c>
    </row>
    <row r="24" spans="1:9" ht="12.75">
      <c r="A24" s="7"/>
      <c r="B24" s="437">
        <f>'Biodiversity Impact Assessment'!D33</f>
        <v>0</v>
      </c>
      <c r="C24" s="399">
        <f>'Biodiversity Impact Assessment'!N33</f>
      </c>
      <c r="D24" s="400">
        <f>'Biodiversity Impact Assessment'!F33</f>
      </c>
      <c r="E24" s="432" t="str">
        <f>IF(D24="High",'Biodiversity Impact Assessment'!O33,"0.00")</f>
        <v>0.00</v>
      </c>
      <c r="F24" s="433" t="str">
        <f>IF(D24="Medium-High",'Biodiversity Impact Assessment'!O33,"0.00")</f>
        <v>0.00</v>
      </c>
      <c r="G24" s="433" t="str">
        <f>IF(D24="Medium",'Biodiversity Impact Assessment'!O33,"0.00")</f>
        <v>0.00</v>
      </c>
      <c r="H24" s="433" t="str">
        <f>IF(D24="Medium-Low",'Biodiversity Impact Assessment'!O33,"0.00")</f>
        <v>0.00</v>
      </c>
      <c r="I24" s="434" t="str">
        <f>IF(D24="Low",'Biodiversity Impact Assessment'!O33,"0.00")</f>
        <v>0.00</v>
      </c>
    </row>
    <row r="25" spans="1:9" ht="12.75">
      <c r="A25" s="7"/>
      <c r="B25" s="437">
        <f>'Biodiversity Impact Assessment'!D34</f>
        <v>0</v>
      </c>
      <c r="C25" s="399">
        <f>'Biodiversity Impact Assessment'!N34</f>
      </c>
      <c r="D25" s="400">
        <f>'Biodiversity Impact Assessment'!F34</f>
      </c>
      <c r="E25" s="432" t="str">
        <f>IF(D25="High",'Biodiversity Impact Assessment'!O34,"0.00")</f>
        <v>0.00</v>
      </c>
      <c r="F25" s="433" t="str">
        <f>IF(D25="Medium-High",'Biodiversity Impact Assessment'!O34,"0.00")</f>
        <v>0.00</v>
      </c>
      <c r="G25" s="433" t="str">
        <f>IF(D25="Medium",'Biodiversity Impact Assessment'!O34,"0.00")</f>
        <v>0.00</v>
      </c>
      <c r="H25" s="433" t="str">
        <f>IF(D25="Medium-Low",'Biodiversity Impact Assessment'!O34,"0.00")</f>
        <v>0.00</v>
      </c>
      <c r="I25" s="434" t="str">
        <f>IF(D25="Low",'Biodiversity Impact Assessment'!O34,"0.00")</f>
        <v>0.00</v>
      </c>
    </row>
    <row r="26" spans="1:9" ht="12.75">
      <c r="A26" s="7"/>
      <c r="B26" s="437">
        <f>'Biodiversity Impact Assessment'!D35</f>
        <v>0</v>
      </c>
      <c r="C26" s="399">
        <f>'Biodiversity Impact Assessment'!N35</f>
      </c>
      <c r="D26" s="400">
        <f>'Biodiversity Impact Assessment'!F35</f>
      </c>
      <c r="E26" s="432" t="str">
        <f>IF(D26="High",'Biodiversity Impact Assessment'!O35,"0.00")</f>
        <v>0.00</v>
      </c>
      <c r="F26" s="433" t="str">
        <f>IF(D26="Medium-High",'Biodiversity Impact Assessment'!O35,"0.00")</f>
        <v>0.00</v>
      </c>
      <c r="G26" s="433" t="str">
        <f>IF(D26="Medium",'Biodiversity Impact Assessment'!O35,"0.00")</f>
        <v>0.00</v>
      </c>
      <c r="H26" s="433" t="str">
        <f>IF(D26="Medium-Low",'Biodiversity Impact Assessment'!O35,"0.00")</f>
        <v>0.00</v>
      </c>
      <c r="I26" s="434" t="str">
        <f>IF(D26="Low",'Biodiversity Impact Assessment'!O35,"0.00")</f>
        <v>0.00</v>
      </c>
    </row>
    <row r="27" spans="1:9" ht="12.75">
      <c r="A27" s="7"/>
      <c r="B27" s="437">
        <f>'Biodiversity Impact Assessment'!D36</f>
        <v>0</v>
      </c>
      <c r="C27" s="399">
        <f>'Biodiversity Impact Assessment'!N36</f>
      </c>
      <c r="D27" s="400">
        <f>'Biodiversity Impact Assessment'!F36</f>
      </c>
      <c r="E27" s="432" t="str">
        <f>IF(D27="High",'Biodiversity Impact Assessment'!O36,"0.00")</f>
        <v>0.00</v>
      </c>
      <c r="F27" s="433" t="str">
        <f>IF(D27="Medium-High",'Biodiversity Impact Assessment'!O36,"0.00")</f>
        <v>0.00</v>
      </c>
      <c r="G27" s="433" t="str">
        <f>IF(D27="Medium",'Biodiversity Impact Assessment'!O36,"0.00")</f>
        <v>0.00</v>
      </c>
      <c r="H27" s="433" t="str">
        <f>IF(D27="Medium-Low",'Biodiversity Impact Assessment'!O36,"0.00")</f>
        <v>0.00</v>
      </c>
      <c r="I27" s="434" t="str">
        <f>IF(D27="Low",'Biodiversity Impact Assessment'!O36,"0.00")</f>
        <v>0.00</v>
      </c>
    </row>
    <row r="28" spans="1:9" ht="12.75">
      <c r="A28" s="7"/>
      <c r="B28" s="437">
        <f>'Biodiversity Impact Assessment'!D37</f>
        <v>0</v>
      </c>
      <c r="C28" s="399">
        <f>'Biodiversity Impact Assessment'!N37</f>
      </c>
      <c r="D28" s="400">
        <f>'Biodiversity Impact Assessment'!F37</f>
      </c>
      <c r="E28" s="432" t="str">
        <f>IF(D28="High",'Biodiversity Impact Assessment'!O37,"0.00")</f>
        <v>0.00</v>
      </c>
      <c r="F28" s="433" t="str">
        <f>IF(D28="Medium-High",'Biodiversity Impact Assessment'!O37,"0.00")</f>
        <v>0.00</v>
      </c>
      <c r="G28" s="433" t="str">
        <f>IF(D28="Medium",'Biodiversity Impact Assessment'!O37,"0.00")</f>
        <v>0.00</v>
      </c>
      <c r="H28" s="433" t="str">
        <f>IF(D28="Medium-Low",'Biodiversity Impact Assessment'!O37,"0.00")</f>
        <v>0.00</v>
      </c>
      <c r="I28" s="434" t="str">
        <f>IF(D28="Low",'Biodiversity Impact Assessment'!O37,"0.00")</f>
        <v>0.00</v>
      </c>
    </row>
    <row r="29" spans="1:9" ht="12.75">
      <c r="A29" s="7"/>
      <c r="B29" s="437">
        <f>'Biodiversity Impact Assessment'!D38</f>
        <v>0</v>
      </c>
      <c r="C29" s="399">
        <f>'Biodiversity Impact Assessment'!N38</f>
      </c>
      <c r="D29" s="400">
        <f>'Biodiversity Impact Assessment'!F38</f>
      </c>
      <c r="E29" s="432" t="str">
        <f>IF(D29="High",'Biodiversity Impact Assessment'!O38,"0.00")</f>
        <v>0.00</v>
      </c>
      <c r="F29" s="433" t="str">
        <f>IF(D29="Medium-High",'Biodiversity Impact Assessment'!O38,"0.00")</f>
        <v>0.00</v>
      </c>
      <c r="G29" s="433" t="str">
        <f>IF(D29="Medium",'Biodiversity Impact Assessment'!O38,"0.00")</f>
        <v>0.00</v>
      </c>
      <c r="H29" s="433" t="str">
        <f>IF(D29="Medium-Low",'Biodiversity Impact Assessment'!O38,"0.00")</f>
        <v>0.00</v>
      </c>
      <c r="I29" s="434" t="str">
        <f>IF(D29="Low",'Biodiversity Impact Assessment'!O38,"0.00")</f>
        <v>0.00</v>
      </c>
    </row>
    <row r="30" spans="1:9" ht="12.75">
      <c r="A30" s="7"/>
      <c r="B30" s="437">
        <f>'Biodiversity Impact Assessment'!D39</f>
        <v>0</v>
      </c>
      <c r="C30" s="399">
        <f>'Biodiversity Impact Assessment'!N39</f>
      </c>
      <c r="D30" s="400">
        <f>'Biodiversity Impact Assessment'!F39</f>
      </c>
      <c r="E30" s="432" t="str">
        <f>IF(D30="High",'Biodiversity Impact Assessment'!O39,"0.00")</f>
        <v>0.00</v>
      </c>
      <c r="F30" s="433" t="str">
        <f>IF(D30="Medium-High",'Biodiversity Impact Assessment'!O39,"0.00")</f>
        <v>0.00</v>
      </c>
      <c r="G30" s="433" t="str">
        <f>IF(D30="Medium",'Biodiversity Impact Assessment'!O39,"0.00")</f>
        <v>0.00</v>
      </c>
      <c r="H30" s="433" t="str">
        <f>IF(D30="Medium-Low",'Biodiversity Impact Assessment'!O39,"0.00")</f>
        <v>0.00</v>
      </c>
      <c r="I30" s="434" t="str">
        <f>IF(D30="Low",'Biodiversity Impact Assessment'!O39,"0.00")</f>
        <v>0.00</v>
      </c>
    </row>
    <row r="31" spans="1:9" ht="12.75">
      <c r="A31" s="7"/>
      <c r="B31" s="437">
        <f>'Biodiversity Impact Assessment'!D40</f>
        <v>0</v>
      </c>
      <c r="C31" s="399">
        <f>'Biodiversity Impact Assessment'!N40</f>
      </c>
      <c r="D31" s="400">
        <f>'Biodiversity Impact Assessment'!F40</f>
      </c>
      <c r="E31" s="432" t="str">
        <f>IF(D31="High",'Biodiversity Impact Assessment'!O40,"0.00")</f>
        <v>0.00</v>
      </c>
      <c r="F31" s="433" t="str">
        <f>IF(D31="Medium-High",'Biodiversity Impact Assessment'!O40,"0.00")</f>
        <v>0.00</v>
      </c>
      <c r="G31" s="433" t="str">
        <f>IF(D31="Medium",'Biodiversity Impact Assessment'!O40,"0.00")</f>
        <v>0.00</v>
      </c>
      <c r="H31" s="433" t="str">
        <f>IF(D31="Medium-Low",'Biodiversity Impact Assessment'!O40,"0.00")</f>
        <v>0.00</v>
      </c>
      <c r="I31" s="434" t="str">
        <f>IF(D31="Low",'Biodiversity Impact Assessment'!O40,"0.00")</f>
        <v>0.00</v>
      </c>
    </row>
    <row r="32" spans="1:9" ht="12.75">
      <c r="A32" s="7"/>
      <c r="B32" s="437">
        <f>'Biodiversity Impact Assessment'!D41</f>
        <v>0</v>
      </c>
      <c r="C32" s="399">
        <f>'Biodiversity Impact Assessment'!N41</f>
      </c>
      <c r="D32" s="400">
        <f>'Biodiversity Impact Assessment'!F41</f>
      </c>
      <c r="E32" s="432" t="str">
        <f>IF(D32="High",'Biodiversity Impact Assessment'!O41,"0.00")</f>
        <v>0.00</v>
      </c>
      <c r="F32" s="433" t="str">
        <f>IF(D32="Medium-High",'Biodiversity Impact Assessment'!O41,"0.00")</f>
        <v>0.00</v>
      </c>
      <c r="G32" s="433" t="str">
        <f>IF(D32="Medium",'Biodiversity Impact Assessment'!O41,"0.00")</f>
        <v>0.00</v>
      </c>
      <c r="H32" s="433" t="str">
        <f>IF(D32="Medium-Low",'Biodiversity Impact Assessment'!O41,"0.00")</f>
        <v>0.00</v>
      </c>
      <c r="I32" s="434" t="str">
        <f>IF(D32="Low",'Biodiversity Impact Assessment'!O41,"0.00")</f>
        <v>0.00</v>
      </c>
    </row>
    <row r="33" spans="1:9" ht="12.75">
      <c r="A33" s="7"/>
      <c r="B33" s="437">
        <f>'Biodiversity Impact Assessment'!D42</f>
        <v>0</v>
      </c>
      <c r="C33" s="399">
        <f>'Biodiversity Impact Assessment'!N42</f>
      </c>
      <c r="D33" s="400">
        <f>'Biodiversity Impact Assessment'!F42</f>
      </c>
      <c r="E33" s="432" t="str">
        <f>IF(D33="High",'Biodiversity Impact Assessment'!O42,"0.00")</f>
        <v>0.00</v>
      </c>
      <c r="F33" s="433" t="str">
        <f>IF(D33="Medium-High",'Biodiversity Impact Assessment'!O42,"0.00")</f>
        <v>0.00</v>
      </c>
      <c r="G33" s="433" t="str">
        <f>IF(D33="Medium",'Biodiversity Impact Assessment'!O42,"0.00")</f>
        <v>0.00</v>
      </c>
      <c r="H33" s="433" t="str">
        <f>IF(D33="Medium-Low",'Biodiversity Impact Assessment'!O42,"0.00")</f>
        <v>0.00</v>
      </c>
      <c r="I33" s="434" t="str">
        <f>IF(D33="Low",'Biodiversity Impact Assessment'!O42,"0.00")</f>
        <v>0.00</v>
      </c>
    </row>
    <row r="34" spans="1:9" ht="12.75">
      <c r="A34" s="7"/>
      <c r="B34" s="437">
        <f>'Biodiversity Impact Assessment'!D43</f>
        <v>0</v>
      </c>
      <c r="C34" s="399">
        <f>'Biodiversity Impact Assessment'!N43</f>
      </c>
      <c r="D34" s="400">
        <f>'Biodiversity Impact Assessment'!F43</f>
      </c>
      <c r="E34" s="432" t="str">
        <f>IF(D34="High",'Biodiversity Impact Assessment'!O43,"0.00")</f>
        <v>0.00</v>
      </c>
      <c r="F34" s="433" t="str">
        <f>IF(D34="Medium-High",'Biodiversity Impact Assessment'!O43,"0.00")</f>
        <v>0.00</v>
      </c>
      <c r="G34" s="433" t="str">
        <f>IF(D34="Medium",'Biodiversity Impact Assessment'!O43,"0.00")</f>
        <v>0.00</v>
      </c>
      <c r="H34" s="433" t="str">
        <f>IF(D34="Medium-Low",'Biodiversity Impact Assessment'!O43,"0.00")</f>
        <v>0.00</v>
      </c>
      <c r="I34" s="434" t="str">
        <f>IF(D34="Low",'Biodiversity Impact Assessment'!O43,"0.00")</f>
        <v>0.00</v>
      </c>
    </row>
    <row r="35" spans="1:9" ht="13.5" thickBot="1">
      <c r="A35" s="7"/>
      <c r="B35" s="439">
        <f>'Biodiversity Impact Assessment'!D44</f>
        <v>0</v>
      </c>
      <c r="C35" s="401">
        <f>'Biodiversity Impact Assessment'!N44</f>
      </c>
      <c r="D35" s="402">
        <f>'Biodiversity Impact Assessment'!F44</f>
      </c>
      <c r="E35" s="646" t="str">
        <f>IF(D35="High",'Biodiversity Impact Assessment'!O44,"0.00")</f>
        <v>0.00</v>
      </c>
      <c r="F35" s="647" t="str">
        <f>IF(D35="Medium-High",'Biodiversity Impact Assessment'!O44,"0.00")</f>
        <v>0.00</v>
      </c>
      <c r="G35" s="647" t="str">
        <f>IF(D35="Medium",'Biodiversity Impact Assessment'!O44,"0.00")</f>
        <v>0.00</v>
      </c>
      <c r="H35" s="647" t="str">
        <f>IF(D35="Medium-Low",'Biodiversity Impact Assessment'!O44,"0.00")</f>
        <v>0.00</v>
      </c>
      <c r="I35" s="648" t="str">
        <f>IF(D35="Low",'Biodiversity Impact Assessment'!O44,"0.00")</f>
        <v>0.00</v>
      </c>
    </row>
    <row r="36" spans="1:9" ht="13.5" thickBot="1">
      <c r="A36" s="7"/>
      <c r="B36" s="392" t="s">
        <v>296</v>
      </c>
      <c r="C36" s="393"/>
      <c r="D36" s="394"/>
      <c r="E36" s="621"/>
      <c r="F36" s="622"/>
      <c r="G36" s="622"/>
      <c r="H36" s="623"/>
      <c r="I36" s="624"/>
    </row>
    <row r="37" spans="1:9" ht="12.75">
      <c r="A37" s="7"/>
      <c r="B37" s="436">
        <f>'Biodiversity Impact Assessment'!D50</f>
        <v>0</v>
      </c>
      <c r="C37" s="403">
        <f>'Biodiversity Impact Assessment'!E50</f>
        <v>0</v>
      </c>
      <c r="D37" s="643">
        <f>'Biodiversity Impact Assessment'!F50</f>
      </c>
      <c r="E37" s="429" t="str">
        <f>IF(D37="High",'Biodiversity Impact Assessment'!K50,"0.00")</f>
        <v>0.00</v>
      </c>
      <c r="F37" s="430" t="str">
        <f>IF(D37="Medium-High",'Biodiversity Impact Assessment'!K50,"0.00")</f>
        <v>0.00</v>
      </c>
      <c r="G37" s="430" t="str">
        <f>IF(D37="Medium",'Biodiversity Impact Assessment'!K50,"0.00")</f>
        <v>0.00</v>
      </c>
      <c r="H37" s="430" t="str">
        <f>IF(D37="Medium-Low",'Biodiversity Impact Assessment'!K50,"0.00")</f>
        <v>0.00</v>
      </c>
      <c r="I37" s="431" t="str">
        <f>IF(D37="Low",'Biodiversity Impact Assessment'!K50,"0.00")</f>
        <v>0.00</v>
      </c>
    </row>
    <row r="38" spans="1:9" ht="12.75">
      <c r="A38" s="7"/>
      <c r="B38" s="437">
        <f>'Biodiversity Impact Assessment'!D52</f>
        <v>0</v>
      </c>
      <c r="C38" s="405">
        <f>'Biodiversity Impact Assessment'!E52</f>
        <v>0</v>
      </c>
      <c r="D38" s="644">
        <f>'Biodiversity Impact Assessment'!F52</f>
      </c>
      <c r="E38" s="432" t="str">
        <f>IF(D38="High",'Biodiversity Impact Assessment'!K52,"0.00")</f>
        <v>0.00</v>
      </c>
      <c r="F38" s="433" t="str">
        <f>IF(D38="Medium-High",'Biodiversity Impact Assessment'!K52,"0.00")</f>
        <v>0.00</v>
      </c>
      <c r="G38" s="433" t="str">
        <f>IF(D38="Medium",'Biodiversity Impact Assessment'!K52,"0.00")</f>
        <v>0.00</v>
      </c>
      <c r="H38" s="433" t="str">
        <f>IF(D38="Medium-Low",'Biodiversity Impact Assessment'!K52,"0.00")</f>
        <v>0.00</v>
      </c>
      <c r="I38" s="434" t="str">
        <f>IF(D38="Low",'Biodiversity Impact Assessment'!K52,"0.00")</f>
        <v>0.00</v>
      </c>
    </row>
    <row r="39" spans="1:9" ht="12.75">
      <c r="A39" s="7"/>
      <c r="B39" s="437">
        <f>'Biodiversity Impact Assessment'!D54</f>
        <v>0</v>
      </c>
      <c r="C39" s="405">
        <f>'Biodiversity Impact Assessment'!E54</f>
        <v>0</v>
      </c>
      <c r="D39" s="644">
        <f>'Biodiversity Impact Assessment'!F54</f>
      </c>
      <c r="E39" s="432" t="str">
        <f>IF(D39="High",'Biodiversity Impact Assessment'!K54,"0.00")</f>
        <v>0.00</v>
      </c>
      <c r="F39" s="433" t="str">
        <f>IF(D39="Medium-High",'Biodiversity Impact Assessment'!K54,"0.00")</f>
        <v>0.00</v>
      </c>
      <c r="G39" s="433" t="str">
        <f>IF(D39="Medium",'Biodiversity Impact Assessment'!K54,"0.00")</f>
        <v>0.00</v>
      </c>
      <c r="H39" s="433" t="str">
        <f>IF(D39="Medium-Low",'Biodiversity Impact Assessment'!K54,"0.00")</f>
        <v>0.00</v>
      </c>
      <c r="I39" s="434" t="str">
        <f>IF(D39="Low",'Biodiversity Impact Assessment'!K54,"0.00")</f>
        <v>0.00</v>
      </c>
    </row>
    <row r="40" spans="1:9" ht="12.75">
      <c r="A40" s="7"/>
      <c r="B40" s="437">
        <f>'Biodiversity Impact Assessment'!D56</f>
        <v>0</v>
      </c>
      <c r="C40" s="405">
        <f>'Biodiversity Impact Assessment'!E56</f>
        <v>0</v>
      </c>
      <c r="D40" s="644">
        <f>'Biodiversity Impact Assessment'!F56</f>
      </c>
      <c r="E40" s="432" t="str">
        <f>IF(D40="High",'Biodiversity Impact Assessment'!K56,"0.00")</f>
        <v>0.00</v>
      </c>
      <c r="F40" s="433" t="str">
        <f>IF(D40="Medium-High",'Biodiversity Impact Assessment'!K56,"0.00")</f>
        <v>0.00</v>
      </c>
      <c r="G40" s="433" t="str">
        <f>IF(D40="Medium",'Biodiversity Impact Assessment'!K56,"0.00")</f>
        <v>0.00</v>
      </c>
      <c r="H40" s="433" t="str">
        <f>IF(D40="Medium-Low",'Biodiversity Impact Assessment'!K56,"0.00")</f>
        <v>0.00</v>
      </c>
      <c r="I40" s="434" t="str">
        <f>IF(D40="Low",'Biodiversity Impact Assessment'!K56,"0.00")</f>
        <v>0.00</v>
      </c>
    </row>
    <row r="41" spans="1:9" ht="13.5" thickBot="1">
      <c r="A41" s="7"/>
      <c r="B41" s="438">
        <f>'Biodiversity Impact Assessment'!D58</f>
        <v>0</v>
      </c>
      <c r="C41" s="407">
        <f>'Biodiversity Impact Assessment'!E58</f>
        <v>0</v>
      </c>
      <c r="D41" s="645">
        <f>'Biodiversity Impact Assessment'!F58</f>
      </c>
      <c r="E41" s="646" t="str">
        <f>IF(D41="High",'Biodiversity Impact Assessment'!K58,"0.00")</f>
        <v>0.00</v>
      </c>
      <c r="F41" s="647" t="str">
        <f>IF(D41="Medium-High",'Biodiversity Impact Assessment'!K58,"0.00")</f>
        <v>0.00</v>
      </c>
      <c r="G41" s="647" t="str">
        <f>IF(D41="Medium",'Biodiversity Impact Assessment'!K58,"0.00")</f>
        <v>0.00</v>
      </c>
      <c r="H41" s="647" t="str">
        <f>IF(D41="Medium-Low",'Biodiversity Impact Assessment'!K58,"0.00")</f>
        <v>0.00</v>
      </c>
      <c r="I41" s="648" t="str">
        <f>IF(D41="Low",'Biodiversity Impact Assessment'!K58,"0.00")</f>
        <v>0.00</v>
      </c>
    </row>
    <row r="42" spans="1:9" ht="13.5" thickBot="1">
      <c r="A42" s="7"/>
      <c r="B42" s="20" t="s">
        <v>219</v>
      </c>
      <c r="C42" s="21">
        <f>SUM(C6:C41)</f>
        <v>8.180430000000001</v>
      </c>
      <c r="D42" s="26"/>
      <c r="E42" s="426">
        <f>SUM(E6:E41)</f>
        <v>6.48312</v>
      </c>
      <c r="F42" s="427">
        <f>SUM(F6:F41)</f>
        <v>0</v>
      </c>
      <c r="G42" s="427">
        <f>SUM(G6:G41)</f>
        <v>3.817640000000001</v>
      </c>
      <c r="H42" s="427">
        <f>SUM(H6:H41)</f>
        <v>27.286530000000003</v>
      </c>
      <c r="I42" s="428">
        <f>SUM(I6:I41)</f>
        <v>0</v>
      </c>
    </row>
    <row r="43" spans="1:9" ht="12.75">
      <c r="A43" s="7"/>
      <c r="B43" s="7"/>
      <c r="C43" s="7"/>
      <c r="D43" s="7"/>
      <c r="E43" s="7"/>
      <c r="F43" s="7"/>
      <c r="G43" s="7"/>
      <c r="H43" s="13"/>
      <c r="I43" s="13"/>
    </row>
    <row r="44" spans="1:8" ht="13.5" thickBot="1">
      <c r="A44" s="7"/>
      <c r="B44" s="11" t="s">
        <v>220</v>
      </c>
      <c r="C44" s="7"/>
      <c r="D44" s="7"/>
      <c r="E44" s="7"/>
      <c r="F44" s="7"/>
      <c r="G44" s="7"/>
      <c r="H44" s="7"/>
    </row>
    <row r="45" spans="1:9" ht="53.25" thickBot="1">
      <c r="A45" s="7"/>
      <c r="B45" s="22" t="s">
        <v>229</v>
      </c>
      <c r="C45" s="14" t="s">
        <v>221</v>
      </c>
      <c r="D45" s="27" t="s">
        <v>0</v>
      </c>
      <c r="E45" s="29" t="s">
        <v>316</v>
      </c>
      <c r="F45" s="30" t="s">
        <v>317</v>
      </c>
      <c r="G45" s="30" t="s">
        <v>318</v>
      </c>
      <c r="H45" s="30" t="s">
        <v>319</v>
      </c>
      <c r="I45" s="31" t="s">
        <v>320</v>
      </c>
    </row>
    <row r="46" spans="1:9" ht="12.75">
      <c r="A46" s="7"/>
      <c r="B46" s="436" t="str">
        <f>'Biodiversity Impact Assessment'!D67</f>
        <v>Built Environment: Buildings/hardstanding</v>
      </c>
      <c r="C46" s="403">
        <f>'Biodiversity Impact Assessment'!E67</f>
        <v>3.492888</v>
      </c>
      <c r="D46" s="404" t="str">
        <f>'Biodiversity Impact Assessment'!F67</f>
        <v>none</v>
      </c>
      <c r="E46" s="649" t="str">
        <f>IF(D46="High",'Biodiversity Impact Assessment'!$O67,"0.00")</f>
        <v>0.00</v>
      </c>
      <c r="F46" s="650" t="str">
        <f>IF(D46="Medium-High",'Biodiversity Impact Assessment'!$O67,"0.00")</f>
        <v>0.00</v>
      </c>
      <c r="G46" s="650" t="str">
        <f>IF(D46="Medium",'Biodiversity Impact Assessment'!$O67,"0.00")</f>
        <v>0.00</v>
      </c>
      <c r="H46" s="650" t="str">
        <f>IF(D46="Medium-Low",'Biodiversity Impact Assessment'!$O67,"0.00")</f>
        <v>0.00</v>
      </c>
      <c r="I46" s="651" t="str">
        <f>IF(D46="Low",'Biodiversity Impact Assessment'!$O67,"0.00")</f>
        <v>0.00</v>
      </c>
    </row>
    <row r="47" spans="1:9" ht="12.75">
      <c r="A47" s="7"/>
      <c r="B47" s="437" t="str">
        <f>'Biodiversity Impact Assessment'!D68</f>
        <v>Built Environment: Gardens (lawn and planting)</v>
      </c>
      <c r="C47" s="405">
        <f>'Biodiversity Impact Assessment'!E68</f>
        <v>1.496952</v>
      </c>
      <c r="D47" s="406" t="str">
        <f>'Biodiversity Impact Assessment'!F68</f>
        <v>Low</v>
      </c>
      <c r="E47" s="649" t="str">
        <f>IF(D47="High",'Biodiversity Impact Assessment'!$O68,"0.00")</f>
        <v>0.00</v>
      </c>
      <c r="F47" s="650" t="str">
        <f>IF(D47="Medium-High",'Biodiversity Impact Assessment'!$O68,"0.00")</f>
        <v>0.00</v>
      </c>
      <c r="G47" s="650" t="str">
        <f>IF(D47="Medium",'Biodiversity Impact Assessment'!$O68,"0.00")</f>
        <v>0.00</v>
      </c>
      <c r="H47" s="650" t="str">
        <f>IF(D47="Medium-Low",'Biodiversity Impact Assessment'!$O68,"0.00")</f>
        <v>0.00</v>
      </c>
      <c r="I47" s="651">
        <f>IF(D47="Low",'Biodiversity Impact Assessment'!$O68,"0.00")</f>
        <v>2.49492</v>
      </c>
    </row>
    <row r="48" spans="1:9" ht="12.75">
      <c r="A48" s="7"/>
      <c r="B48" s="437" t="str">
        <f>'Biodiversity Impact Assessment'!D69</f>
        <v>Grassland: Unimproved neutral grassland</v>
      </c>
      <c r="C48" s="405">
        <f>'Biodiversity Impact Assessment'!E69</f>
        <v>3.15059</v>
      </c>
      <c r="D48" s="406" t="str">
        <f>'Biodiversity Impact Assessment'!F69</f>
        <v>High</v>
      </c>
      <c r="E48" s="649">
        <f>IF(D48="High",'Biodiversity Impact Assessment'!$O69,"0.00")</f>
        <v>18.00337142857143</v>
      </c>
      <c r="F48" s="650" t="str">
        <f>IF(D48="Medium-High",'Biodiversity Impact Assessment'!$O69,"0.00")</f>
        <v>0.00</v>
      </c>
      <c r="G48" s="650" t="str">
        <f>IF(D48="Medium",'Biodiversity Impact Assessment'!$O69,"0.00")</f>
        <v>0.00</v>
      </c>
      <c r="H48" s="650" t="str">
        <f>IF(D48="Medium-Low",'Biodiversity Impact Assessment'!$O69,"0.00")</f>
        <v>0.00</v>
      </c>
      <c r="I48" s="651" t="str">
        <f>IF(D48="Low",'Biodiversity Impact Assessment'!$O69,"0.00")</f>
        <v>0.00</v>
      </c>
    </row>
    <row r="49" spans="1:9" ht="12.75">
      <c r="A49" s="7"/>
      <c r="B49" s="437" t="str">
        <f>'Biodiversity Impact Assessment'!D70</f>
        <v>Wetland: Standing water</v>
      </c>
      <c r="C49" s="405">
        <f>'Biodiversity Impact Assessment'!E70</f>
        <v>0.04</v>
      </c>
      <c r="D49" s="406" t="str">
        <f>'Biodiversity Impact Assessment'!F70</f>
        <v>High</v>
      </c>
      <c r="E49" s="649">
        <f>IF(D49="High",'Biodiversity Impact Assessment'!$O70,"0.00")</f>
        <v>0.3428571428571429</v>
      </c>
      <c r="F49" s="650" t="str">
        <f>IF(D49="Medium-High",'Biodiversity Impact Assessment'!$O70,"0.00")</f>
        <v>0.00</v>
      </c>
      <c r="G49" s="650" t="str">
        <f>IF(D49="Medium",'Biodiversity Impact Assessment'!$O70,"0.00")</f>
        <v>0.00</v>
      </c>
      <c r="H49" s="650" t="str">
        <f>IF(D49="Medium-Low",'Biodiversity Impact Assessment'!$O70,"0.00")</f>
        <v>0.00</v>
      </c>
      <c r="I49" s="651" t="str">
        <f>IF(D49="Low",'Biodiversity Impact Assessment'!$O70,"0.00")</f>
        <v>0.00</v>
      </c>
    </row>
    <row r="50" spans="1:9" ht="12.75">
      <c r="A50" s="7"/>
      <c r="B50" s="437">
        <f>'Biodiversity Impact Assessment'!D71</f>
        <v>0</v>
      </c>
      <c r="C50" s="405">
        <f>'Biodiversity Impact Assessment'!E71</f>
        <v>0</v>
      </c>
      <c r="D50" s="406">
        <f>'Biodiversity Impact Assessment'!F71</f>
      </c>
      <c r="E50" s="649" t="str">
        <f>IF(D50="High",'Biodiversity Impact Assessment'!$O71,"0.00")</f>
        <v>0.00</v>
      </c>
      <c r="F50" s="650" t="str">
        <f>IF(D50="Medium-High",'Biodiversity Impact Assessment'!$O71,"0.00")</f>
        <v>0.00</v>
      </c>
      <c r="G50" s="650" t="str">
        <f>IF(D50="Medium",'Biodiversity Impact Assessment'!$O71,"0.00")</f>
        <v>0.00</v>
      </c>
      <c r="H50" s="650" t="str">
        <f>IF(D50="Medium-Low",'Biodiversity Impact Assessment'!$O71,"0.00")</f>
        <v>0.00</v>
      </c>
      <c r="I50" s="651" t="str">
        <f>IF(D50="Low",'Biodiversity Impact Assessment'!$O71,"0.00")</f>
        <v>0.00</v>
      </c>
    </row>
    <row r="51" spans="1:9" ht="12.75">
      <c r="A51" s="7"/>
      <c r="B51" s="437">
        <f>'Biodiversity Impact Assessment'!D72</f>
        <v>0</v>
      </c>
      <c r="C51" s="405">
        <f>'Biodiversity Impact Assessment'!E72</f>
        <v>0</v>
      </c>
      <c r="D51" s="406">
        <f>'Biodiversity Impact Assessment'!F72</f>
      </c>
      <c r="E51" s="649" t="str">
        <f>IF(D51="High",'Biodiversity Impact Assessment'!$O72,"0.00")</f>
        <v>0.00</v>
      </c>
      <c r="F51" s="650" t="str">
        <f>IF(D51="Medium-High",'Biodiversity Impact Assessment'!$O72,"0.00")</f>
        <v>0.00</v>
      </c>
      <c r="G51" s="650" t="str">
        <f>IF(D51="Medium",'Biodiversity Impact Assessment'!$O72,"0.00")</f>
        <v>0.00</v>
      </c>
      <c r="H51" s="650" t="str">
        <f>IF(D51="Medium-Low",'Biodiversity Impact Assessment'!$O72,"0.00")</f>
        <v>0.00</v>
      </c>
      <c r="I51" s="651" t="str">
        <f>IF(D51="Low",'Biodiversity Impact Assessment'!$O72,"0.00")</f>
        <v>0.00</v>
      </c>
    </row>
    <row r="52" spans="1:9" ht="12.75">
      <c r="A52" s="7"/>
      <c r="B52" s="437">
        <f>'Biodiversity Impact Assessment'!D73</f>
        <v>0</v>
      </c>
      <c r="C52" s="405">
        <f>'Biodiversity Impact Assessment'!E73</f>
        <v>0</v>
      </c>
      <c r="D52" s="406">
        <f>'Biodiversity Impact Assessment'!F73</f>
      </c>
      <c r="E52" s="649" t="str">
        <f>IF(D52="High",'Biodiversity Impact Assessment'!$O73,"0.00")</f>
        <v>0.00</v>
      </c>
      <c r="F52" s="650" t="str">
        <f>IF(D52="Medium-High",'Biodiversity Impact Assessment'!$O73,"0.00")</f>
        <v>0.00</v>
      </c>
      <c r="G52" s="650" t="str">
        <f>IF(D52="Medium",'Biodiversity Impact Assessment'!$O73,"0.00")</f>
        <v>0.00</v>
      </c>
      <c r="H52" s="650" t="str">
        <f>IF(D52="Medium-Low",'Biodiversity Impact Assessment'!$O73,"0.00")</f>
        <v>0.00</v>
      </c>
      <c r="I52" s="651" t="str">
        <f>IF(D52="Low",'Biodiversity Impact Assessment'!$O73,"0.00")</f>
        <v>0.00</v>
      </c>
    </row>
    <row r="53" spans="1:9" ht="12.75">
      <c r="A53" s="7"/>
      <c r="B53" s="437">
        <f>'Biodiversity Impact Assessment'!D74</f>
        <v>0</v>
      </c>
      <c r="C53" s="405">
        <f>'Biodiversity Impact Assessment'!E74</f>
        <v>0</v>
      </c>
      <c r="D53" s="406">
        <f>'Biodiversity Impact Assessment'!F74</f>
      </c>
      <c r="E53" s="649" t="str">
        <f>IF(D53="High",'Biodiversity Impact Assessment'!$O74,"0.00")</f>
        <v>0.00</v>
      </c>
      <c r="F53" s="650" t="str">
        <f>IF(D53="Medium-High",'Biodiversity Impact Assessment'!$O74,"0.00")</f>
        <v>0.00</v>
      </c>
      <c r="G53" s="650" t="str">
        <f>IF(D53="Medium",'Biodiversity Impact Assessment'!$O74,"0.00")</f>
        <v>0.00</v>
      </c>
      <c r="H53" s="650" t="str">
        <f>IF(D53="Medium-Low",'Biodiversity Impact Assessment'!$O74,"0.00")</f>
        <v>0.00</v>
      </c>
      <c r="I53" s="651" t="str">
        <f>IF(D53="Low",'Biodiversity Impact Assessment'!$O74,"0.00")</f>
        <v>0.00</v>
      </c>
    </row>
    <row r="54" spans="1:9" ht="12.75">
      <c r="A54" s="7"/>
      <c r="B54" s="437">
        <f>'Biodiversity Impact Assessment'!D75</f>
        <v>0</v>
      </c>
      <c r="C54" s="405">
        <f>'Biodiversity Impact Assessment'!E75</f>
        <v>0</v>
      </c>
      <c r="D54" s="406">
        <f>'Biodiversity Impact Assessment'!F75</f>
      </c>
      <c r="E54" s="649" t="str">
        <f>IF(D54="High",'Biodiversity Impact Assessment'!$O75,"0.00")</f>
        <v>0.00</v>
      </c>
      <c r="F54" s="650" t="str">
        <f>IF(D54="Medium-High",'Biodiversity Impact Assessment'!$O75,"0.00")</f>
        <v>0.00</v>
      </c>
      <c r="G54" s="650" t="str">
        <f>IF(D54="Medium",'Biodiversity Impact Assessment'!$O75,"0.00")</f>
        <v>0.00</v>
      </c>
      <c r="H54" s="650" t="str">
        <f>IF(D54="Medium-Low",'Biodiversity Impact Assessment'!$O75,"0.00")</f>
        <v>0.00</v>
      </c>
      <c r="I54" s="651" t="str">
        <f>IF(D54="Low",'Biodiversity Impact Assessment'!$O75,"0.00")</f>
        <v>0.00</v>
      </c>
    </row>
    <row r="55" spans="1:9" ht="12.75">
      <c r="A55" s="7"/>
      <c r="B55" s="437">
        <f>'Biodiversity Impact Assessment'!D76</f>
        <v>0</v>
      </c>
      <c r="C55" s="405">
        <f>'Biodiversity Impact Assessment'!E76</f>
        <v>0</v>
      </c>
      <c r="D55" s="406">
        <f>'Biodiversity Impact Assessment'!F76</f>
      </c>
      <c r="E55" s="649" t="str">
        <f>IF(D55="High",'Biodiversity Impact Assessment'!$O76,"0.00")</f>
        <v>0.00</v>
      </c>
      <c r="F55" s="650" t="str">
        <f>IF(D55="Medium-High",'Biodiversity Impact Assessment'!$O76,"0.00")</f>
        <v>0.00</v>
      </c>
      <c r="G55" s="650" t="str">
        <f>IF(D55="Medium",'Biodiversity Impact Assessment'!$O76,"0.00")</f>
        <v>0.00</v>
      </c>
      <c r="H55" s="650" t="str">
        <f>IF(D55="Medium-Low",'Biodiversity Impact Assessment'!$O76,"0.00")</f>
        <v>0.00</v>
      </c>
      <c r="I55" s="651" t="str">
        <f>IF(D55="Low",'Biodiversity Impact Assessment'!$O76,"0.00")</f>
        <v>0.00</v>
      </c>
    </row>
    <row r="56" spans="1:9" ht="12.75">
      <c r="A56" s="7"/>
      <c r="B56" s="437">
        <f>'Biodiversity Impact Assessment'!D77</f>
        <v>0</v>
      </c>
      <c r="C56" s="405">
        <f>'Biodiversity Impact Assessment'!E77</f>
        <v>0</v>
      </c>
      <c r="D56" s="406">
        <f>'Biodiversity Impact Assessment'!F77</f>
      </c>
      <c r="E56" s="649" t="str">
        <f>IF(D56="High",'Biodiversity Impact Assessment'!$O77,"0.00")</f>
        <v>0.00</v>
      </c>
      <c r="F56" s="650" t="str">
        <f>IF(D56="Medium-High",'Biodiversity Impact Assessment'!$O77,"0.00")</f>
        <v>0.00</v>
      </c>
      <c r="G56" s="650" t="str">
        <f>IF(D56="Medium",'Biodiversity Impact Assessment'!$O77,"0.00")</f>
        <v>0.00</v>
      </c>
      <c r="H56" s="650" t="str">
        <f>IF(D56="Medium-Low",'Biodiversity Impact Assessment'!$O77,"0.00")</f>
        <v>0.00</v>
      </c>
      <c r="I56" s="651" t="str">
        <f>IF(D56="Low",'Biodiversity Impact Assessment'!$O77,"0.00")</f>
        <v>0.00</v>
      </c>
    </row>
    <row r="57" spans="1:9" ht="12.75">
      <c r="A57" s="7"/>
      <c r="B57" s="437">
        <f>'Biodiversity Impact Assessment'!D78</f>
        <v>0</v>
      </c>
      <c r="C57" s="405">
        <f>'Biodiversity Impact Assessment'!E78</f>
        <v>0</v>
      </c>
      <c r="D57" s="406">
        <f>'Biodiversity Impact Assessment'!F78</f>
      </c>
      <c r="E57" s="649" t="str">
        <f>IF(D57="High",'Biodiversity Impact Assessment'!$O78,"0.00")</f>
        <v>0.00</v>
      </c>
      <c r="F57" s="650" t="str">
        <f>IF(D57="Medium-High",'Biodiversity Impact Assessment'!$O78,"0.00")</f>
        <v>0.00</v>
      </c>
      <c r="G57" s="650" t="str">
        <f>IF(D57="Medium",'Biodiversity Impact Assessment'!$O78,"0.00")</f>
        <v>0.00</v>
      </c>
      <c r="H57" s="650" t="str">
        <f>IF(D57="Medium-Low",'Biodiversity Impact Assessment'!$O78,"0.00")</f>
        <v>0.00</v>
      </c>
      <c r="I57" s="651" t="str">
        <f>IF(D57="Low",'Biodiversity Impact Assessment'!$O78,"0.00")</f>
        <v>0.00</v>
      </c>
    </row>
    <row r="58" spans="1:9" ht="12.75">
      <c r="A58" s="7"/>
      <c r="B58" s="437">
        <f>'Biodiversity Impact Assessment'!D79</f>
        <v>0</v>
      </c>
      <c r="C58" s="405">
        <f>'Biodiversity Impact Assessment'!E79</f>
        <v>0</v>
      </c>
      <c r="D58" s="406">
        <f>'Biodiversity Impact Assessment'!F79</f>
      </c>
      <c r="E58" s="649" t="str">
        <f>IF(D58="High",'Biodiversity Impact Assessment'!$O79,"0.00")</f>
        <v>0.00</v>
      </c>
      <c r="F58" s="650" t="str">
        <f>IF(D58="Medium-High",'Biodiversity Impact Assessment'!$O79,"0.00")</f>
        <v>0.00</v>
      </c>
      <c r="G58" s="650" t="str">
        <f>IF(D58="Medium",'Biodiversity Impact Assessment'!$O79,"0.00")</f>
        <v>0.00</v>
      </c>
      <c r="H58" s="650" t="str">
        <f>IF(D58="Medium-Low",'Biodiversity Impact Assessment'!$O79,"0.00")</f>
        <v>0.00</v>
      </c>
      <c r="I58" s="651" t="str">
        <f>IF(D58="Low",'Biodiversity Impact Assessment'!$O79,"0.00")</f>
        <v>0.00</v>
      </c>
    </row>
    <row r="59" spans="1:9" ht="12.75">
      <c r="A59" s="7"/>
      <c r="B59" s="437">
        <f>'Biodiversity Impact Assessment'!D80</f>
        <v>0</v>
      </c>
      <c r="C59" s="405">
        <f>'Biodiversity Impact Assessment'!E80</f>
        <v>0</v>
      </c>
      <c r="D59" s="406">
        <f>'Biodiversity Impact Assessment'!F80</f>
      </c>
      <c r="E59" s="649" t="str">
        <f>IF(D59="High",'Biodiversity Impact Assessment'!$O80,"0.00")</f>
        <v>0.00</v>
      </c>
      <c r="F59" s="650" t="str">
        <f>IF(D59="Medium-High",'Biodiversity Impact Assessment'!$O80,"0.00")</f>
        <v>0.00</v>
      </c>
      <c r="G59" s="650" t="str">
        <f>IF(D59="Medium",'Biodiversity Impact Assessment'!$O80,"0.00")</f>
        <v>0.00</v>
      </c>
      <c r="H59" s="650" t="str">
        <f>IF(D59="Medium-Low",'Biodiversity Impact Assessment'!$O80,"0.00")</f>
        <v>0.00</v>
      </c>
      <c r="I59" s="651" t="str">
        <f>IF(D59="Low",'Biodiversity Impact Assessment'!$O80,"0.00")</f>
        <v>0.00</v>
      </c>
    </row>
    <row r="60" spans="1:9" ht="13.5" thickBot="1">
      <c r="A60" s="7"/>
      <c r="B60" s="438">
        <f>'Biodiversity Impact Assessment'!D81</f>
        <v>0</v>
      </c>
      <c r="C60" s="407">
        <f>'Biodiversity Impact Assessment'!E81</f>
        <v>0</v>
      </c>
      <c r="D60" s="408">
        <f>'Biodiversity Impact Assessment'!F81</f>
      </c>
      <c r="E60" s="649" t="str">
        <f>IF(D60="High",'Biodiversity Impact Assessment'!$O81,"0.00")</f>
        <v>0.00</v>
      </c>
      <c r="F60" s="650" t="str">
        <f>IF(D60="Medium-High",'Biodiversity Impact Assessment'!$O81,"0.00")</f>
        <v>0.00</v>
      </c>
      <c r="G60" s="650" t="str">
        <f>IF(D60="Medium",'Biodiversity Impact Assessment'!$O81,"0.00")</f>
        <v>0.00</v>
      </c>
      <c r="H60" s="650" t="str">
        <f>IF(D60="Medium-Low",'Biodiversity Impact Assessment'!$O81,"0.00")</f>
        <v>0.00</v>
      </c>
      <c r="I60" s="651" t="str">
        <f>IF(D60="Low",'Biodiversity Impact Assessment'!$O81,"0.00")</f>
        <v>0.00</v>
      </c>
    </row>
    <row r="61" spans="1:9" ht="13.5" thickBot="1">
      <c r="A61" s="7"/>
      <c r="B61" s="23" t="s">
        <v>321</v>
      </c>
      <c r="C61" s="24" t="s">
        <v>230</v>
      </c>
      <c r="D61" s="28" t="s">
        <v>0</v>
      </c>
      <c r="E61" s="625" t="s">
        <v>52</v>
      </c>
      <c r="F61" s="626" t="s">
        <v>307</v>
      </c>
      <c r="G61" s="626" t="s">
        <v>76</v>
      </c>
      <c r="H61" s="627" t="s">
        <v>306</v>
      </c>
      <c r="I61" s="628" t="s">
        <v>54</v>
      </c>
    </row>
    <row r="62" spans="1:9" ht="12.75">
      <c r="A62" s="7"/>
      <c r="B62" s="436" t="str">
        <f>'Biodiversity Impact Assessment'!D84</f>
        <v>Woodland: Broad-leaved semi-natural woodland</v>
      </c>
      <c r="C62" s="403">
        <f>'Biodiversity Impact Assessment'!E84</f>
        <v>0.45871</v>
      </c>
      <c r="D62" s="404" t="str">
        <f>'Biodiversity Impact Assessment'!F84</f>
        <v>High</v>
      </c>
      <c r="E62" s="652">
        <f>IF(D62="High",'Biodiversity Impact Assessment'!$O84,"0.00")</f>
        <v>1.1467750000000003</v>
      </c>
      <c r="F62" s="419" t="str">
        <f>IF(D62="Medium-High",'Biodiversity Impact Assessment'!$O84,"0.00")</f>
        <v>0.00</v>
      </c>
      <c r="G62" s="419" t="str">
        <f>IF(D62="Medium",'Biodiversity Impact Assessment'!$O84,"0.00")</f>
        <v>0.00</v>
      </c>
      <c r="H62" s="419" t="str">
        <f>IF(D62="Medium-Low",'Biodiversity Impact Assessment'!$O84,"0.00")</f>
        <v>0.00</v>
      </c>
      <c r="I62" s="420" t="str">
        <f>IF(D62="Low",'Biodiversity Impact Assessment'!$O84,"0.00")</f>
        <v>0.00</v>
      </c>
    </row>
    <row r="63" spans="1:9" ht="12.75">
      <c r="A63" s="7"/>
      <c r="B63" s="437" t="str">
        <f>'Biodiversity Impact Assessment'!D85</f>
        <v>Grassland: Marsh / Marshy grassland</v>
      </c>
      <c r="C63" s="405">
        <f>'Biodiversity Impact Assessment'!E85</f>
        <v>0.13457</v>
      </c>
      <c r="D63" s="406" t="str">
        <f>'Biodiversity Impact Assessment'!F85</f>
        <v>High</v>
      </c>
      <c r="E63" s="653">
        <f>IF(D63="High",'Biodiversity Impact Assessment'!$O85,"0.00")</f>
        <v>0.4485666666666667</v>
      </c>
      <c r="F63" s="421" t="str">
        <f>IF(D63="Medium-High",'Biodiversity Impact Assessment'!$O85,"0.00")</f>
        <v>0.00</v>
      </c>
      <c r="G63" s="421" t="str">
        <f>IF(D63="Medium",'Biodiversity Impact Assessment'!$O85,"0.00")</f>
        <v>0.00</v>
      </c>
      <c r="H63" s="421" t="str">
        <f>IF(D63="Medium-Low",'Biodiversity Impact Assessment'!$O85,"0.00")</f>
        <v>0.00</v>
      </c>
      <c r="I63" s="422" t="str">
        <f>IF(D63="Low",'Biodiversity Impact Assessment'!$O85,"0.00")</f>
        <v>0.00</v>
      </c>
    </row>
    <row r="64" spans="1:9" ht="12.75">
      <c r="A64" s="7"/>
      <c r="B64" s="437" t="str">
        <f>'Biodiversity Impact Assessment'!D86</f>
        <v>Grassland: Unimproved neutral grassland</v>
      </c>
      <c r="C64" s="405">
        <f>'Biodiversity Impact Assessment'!E86</f>
        <v>6.70183</v>
      </c>
      <c r="D64" s="406" t="str">
        <f>'Biodiversity Impact Assessment'!F86</f>
        <v>High</v>
      </c>
      <c r="E64" s="653">
        <f>IF(D64="High",'Biodiversity Impact Assessment'!$O86,"0.00")</f>
        <v>36.04181428571429</v>
      </c>
      <c r="F64" s="421" t="str">
        <f>IF(D64="Medium-High",'Biodiversity Impact Assessment'!$O86,"0.00")</f>
        <v>0.00</v>
      </c>
      <c r="G64" s="421" t="str">
        <f>IF(D64="Medium",'Biodiversity Impact Assessment'!$O86,"0.00")</f>
        <v>0.00</v>
      </c>
      <c r="H64" s="421" t="str">
        <f>IF(D64="Medium-Low",'Biodiversity Impact Assessment'!$O86,"0.00")</f>
        <v>0.00</v>
      </c>
      <c r="I64" s="422" t="str">
        <f>IF(D64="Low",'Biodiversity Impact Assessment'!$O86,"0.00")</f>
        <v>0.00</v>
      </c>
    </row>
    <row r="65" spans="1:9" ht="12.75">
      <c r="A65" s="7"/>
      <c r="B65" s="437" t="str">
        <f>'Biodiversity Impact Assessment'!D87</f>
        <v>Wetland: Standing water</v>
      </c>
      <c r="C65" s="405">
        <f>'Biodiversity Impact Assessment'!E87</f>
        <v>0.01203</v>
      </c>
      <c r="D65" s="406" t="str">
        <f>'Biodiversity Impact Assessment'!F87</f>
        <v>High</v>
      </c>
      <c r="E65" s="653">
        <f>IF(D65="High",'Biodiversity Impact Assessment'!$O87,"0.00")</f>
        <v>0.0401</v>
      </c>
      <c r="F65" s="421" t="str">
        <f>IF(D65="Medium-High",'Biodiversity Impact Assessment'!$O87,"0.00")</f>
        <v>0.00</v>
      </c>
      <c r="G65" s="421" t="str">
        <f>IF(D65="Medium",'Biodiversity Impact Assessment'!$O87,"0.00")</f>
        <v>0.00</v>
      </c>
      <c r="H65" s="421" t="str">
        <f>IF(D65="Medium-Low",'Biodiversity Impact Assessment'!$O87,"0.00")</f>
        <v>0.00</v>
      </c>
      <c r="I65" s="422" t="str">
        <f>IF(D65="Low",'Biodiversity Impact Assessment'!$O87,"0.00")</f>
        <v>0.00</v>
      </c>
    </row>
    <row r="66" spans="1:9" ht="12.75">
      <c r="A66" s="7"/>
      <c r="B66" s="437" t="str">
        <f>'Biodiversity Impact Assessment'!D88</f>
        <v>Wetland: Swamp</v>
      </c>
      <c r="C66" s="405">
        <f>'Biodiversity Impact Assessment'!E88</f>
        <v>0.09548</v>
      </c>
      <c r="D66" s="406" t="str">
        <f>'Biodiversity Impact Assessment'!F88</f>
        <v>High</v>
      </c>
      <c r="E66" s="653">
        <f>IF(D66="High",'Biodiversity Impact Assessment'!$O88,"0.00")</f>
        <v>0.31826666666666664</v>
      </c>
      <c r="F66" s="421" t="str">
        <f>IF(D66="Medium-High",'Biodiversity Impact Assessment'!$O88,"0.00")</f>
        <v>0.00</v>
      </c>
      <c r="G66" s="421" t="str">
        <f>IF(D66="Medium",'Biodiversity Impact Assessment'!$O88,"0.00")</f>
        <v>0.00</v>
      </c>
      <c r="H66" s="421" t="str">
        <f>IF(D66="Medium-Low",'Biodiversity Impact Assessment'!$O88,"0.00")</f>
        <v>0.00</v>
      </c>
      <c r="I66" s="422" t="str">
        <f>IF(D66="Low",'Biodiversity Impact Assessment'!$O88,"0.00")</f>
        <v>0.00</v>
      </c>
    </row>
    <row r="67" spans="1:9" ht="12.75">
      <c r="A67" s="7"/>
      <c r="B67" s="437" t="str">
        <f>'Biodiversity Impact Assessment'!D89</f>
        <v>Woodland: Scattered scrub</v>
      </c>
      <c r="C67" s="405">
        <f>'Biodiversity Impact Assessment'!E89</f>
        <v>0.15394</v>
      </c>
      <c r="D67" s="406" t="str">
        <f>'Biodiversity Impact Assessment'!F89</f>
        <v>Medium</v>
      </c>
      <c r="E67" s="653" t="str">
        <f>IF(D67="High",'Biodiversity Impact Assessment'!$O89,"0.00")</f>
        <v>0.00</v>
      </c>
      <c r="F67" s="421" t="str">
        <f>IF(D67="Medium-High",'Biodiversity Impact Assessment'!$O89,"0.00")</f>
        <v>0.00</v>
      </c>
      <c r="G67" s="421">
        <f>IF(D67="Medium",'Biodiversity Impact Assessment'!$O89,"0.00")</f>
        <v>0.9896142857142859</v>
      </c>
      <c r="H67" s="421" t="str">
        <f>IF(D67="Medium-Low",'Biodiversity Impact Assessment'!$O89,"0.00")</f>
        <v>0.00</v>
      </c>
      <c r="I67" s="422" t="str">
        <f>IF(D67="Low",'Biodiversity Impact Assessment'!$O89,"0.00")</f>
        <v>0.00</v>
      </c>
    </row>
    <row r="68" spans="1:9" ht="12.75">
      <c r="A68" s="7"/>
      <c r="B68" s="437">
        <f>'Biodiversity Impact Assessment'!D90</f>
        <v>0</v>
      </c>
      <c r="C68" s="405">
        <f>'Biodiversity Impact Assessment'!E90</f>
        <v>0</v>
      </c>
      <c r="D68" s="406">
        <f>'Biodiversity Impact Assessment'!F90</f>
      </c>
      <c r="E68" s="653" t="str">
        <f>IF(D68="High",'Biodiversity Impact Assessment'!$O90,"0.00")</f>
        <v>0.00</v>
      </c>
      <c r="F68" s="421" t="str">
        <f>IF(D68="Medium-High",'Biodiversity Impact Assessment'!$O90,"0.00")</f>
        <v>0.00</v>
      </c>
      <c r="G68" s="421" t="str">
        <f>IF(D68="Medium",'Biodiversity Impact Assessment'!$O90,"0.00")</f>
        <v>0.00</v>
      </c>
      <c r="H68" s="421" t="str">
        <f>IF(D68="Medium-Low",'Biodiversity Impact Assessment'!$O90,"0.00")</f>
        <v>0.00</v>
      </c>
      <c r="I68" s="422" t="str">
        <f>IF(D68="Low",'Biodiversity Impact Assessment'!$O90,"0.00")</f>
        <v>0.00</v>
      </c>
    </row>
    <row r="69" spans="1:9" ht="12.75">
      <c r="A69" s="7"/>
      <c r="B69" s="437">
        <f>'Biodiversity Impact Assessment'!D91</f>
        <v>0</v>
      </c>
      <c r="C69" s="405">
        <f>'Biodiversity Impact Assessment'!E91</f>
        <v>0</v>
      </c>
      <c r="D69" s="406">
        <f>'Biodiversity Impact Assessment'!F91</f>
      </c>
      <c r="E69" s="653" t="str">
        <f>IF(D69="High",'Biodiversity Impact Assessment'!$O91,"0.00")</f>
        <v>0.00</v>
      </c>
      <c r="F69" s="421" t="str">
        <f>IF(D69="Medium-High",'Biodiversity Impact Assessment'!$O91,"0.00")</f>
        <v>0.00</v>
      </c>
      <c r="G69" s="421" t="str">
        <f>IF(D69="Medium",'Biodiversity Impact Assessment'!$O91,"0.00")</f>
        <v>0.00</v>
      </c>
      <c r="H69" s="421" t="str">
        <f>IF(D69="Medium-Low",'Biodiversity Impact Assessment'!$O91,"0.00")</f>
        <v>0.00</v>
      </c>
      <c r="I69" s="422" t="str">
        <f>IF(D69="Low",'Biodiversity Impact Assessment'!$O91,"0.00")</f>
        <v>0.00</v>
      </c>
    </row>
    <row r="70" spans="1:9" ht="12.75">
      <c r="A70" s="7"/>
      <c r="B70" s="437">
        <f>'Biodiversity Impact Assessment'!D92</f>
        <v>0</v>
      </c>
      <c r="C70" s="405">
        <f>'Biodiversity Impact Assessment'!E92</f>
        <v>0</v>
      </c>
      <c r="D70" s="406">
        <f>'Biodiversity Impact Assessment'!F92</f>
      </c>
      <c r="E70" s="653" t="str">
        <f>IF(D70="High",'Biodiversity Impact Assessment'!$O92,"0.00")</f>
        <v>0.00</v>
      </c>
      <c r="F70" s="421" t="str">
        <f>IF(D70="Medium-High",'Biodiversity Impact Assessment'!$O92,"0.00")</f>
        <v>0.00</v>
      </c>
      <c r="G70" s="421" t="str">
        <f>IF(D70="Medium",'Biodiversity Impact Assessment'!$O92,"0.00")</f>
        <v>0.00</v>
      </c>
      <c r="H70" s="421" t="str">
        <f>IF(D70="Medium-Low",'Biodiversity Impact Assessment'!$O92,"0.00")</f>
        <v>0.00</v>
      </c>
      <c r="I70" s="422" t="str">
        <f>IF(D70="Low",'Biodiversity Impact Assessment'!$O92,"0.00")</f>
        <v>0.00</v>
      </c>
    </row>
    <row r="71" spans="1:9" ht="12.75">
      <c r="A71" s="7"/>
      <c r="B71" s="437">
        <f>'Biodiversity Impact Assessment'!D93</f>
        <v>0</v>
      </c>
      <c r="C71" s="405">
        <f>'Biodiversity Impact Assessment'!E93</f>
        <v>0</v>
      </c>
      <c r="D71" s="406">
        <f>'Biodiversity Impact Assessment'!F93</f>
      </c>
      <c r="E71" s="653" t="str">
        <f>IF(D71="High",'Biodiversity Impact Assessment'!$O93,"0.00")</f>
        <v>0.00</v>
      </c>
      <c r="F71" s="421" t="str">
        <f>IF(D71="Medium-High",'Biodiversity Impact Assessment'!$O93,"0.00")</f>
        <v>0.00</v>
      </c>
      <c r="G71" s="421" t="str">
        <f>IF(D71="Medium",'Biodiversity Impact Assessment'!$O93,"0.00")</f>
        <v>0.00</v>
      </c>
      <c r="H71" s="421" t="str">
        <f>IF(D71="Medium-Low",'Biodiversity Impact Assessment'!$O93,"0.00")</f>
        <v>0.00</v>
      </c>
      <c r="I71" s="422" t="str">
        <f>IF(D71="Low",'Biodiversity Impact Assessment'!$O93,"0.00")</f>
        <v>0.00</v>
      </c>
    </row>
    <row r="72" spans="1:9" ht="12.75">
      <c r="A72" s="7"/>
      <c r="B72" s="437">
        <f>'Biodiversity Impact Assessment'!D94</f>
        <v>0</v>
      </c>
      <c r="C72" s="405">
        <f>'Biodiversity Impact Assessment'!E94</f>
        <v>0</v>
      </c>
      <c r="D72" s="406">
        <f>'Biodiversity Impact Assessment'!F94</f>
      </c>
      <c r="E72" s="653" t="str">
        <f>IF(D72="High",'Biodiversity Impact Assessment'!$O94,"0.00")</f>
        <v>0.00</v>
      </c>
      <c r="F72" s="421" t="str">
        <f>IF(D72="Medium-High",'Biodiversity Impact Assessment'!$O94,"0.00")</f>
        <v>0.00</v>
      </c>
      <c r="G72" s="421" t="str">
        <f>IF(D72="Medium",'Biodiversity Impact Assessment'!$O94,"0.00")</f>
        <v>0.00</v>
      </c>
      <c r="H72" s="421" t="str">
        <f>IF(D72="Medium-Low",'Biodiversity Impact Assessment'!$O94,"0.00")</f>
        <v>0.00</v>
      </c>
      <c r="I72" s="422" t="str">
        <f>IF(D72="Low",'Biodiversity Impact Assessment'!$O94,"0.00")</f>
        <v>0.00</v>
      </c>
    </row>
    <row r="73" spans="1:10" ht="12.75" customHeight="1">
      <c r="A73" s="7"/>
      <c r="B73" s="437">
        <f>'Biodiversity Impact Assessment'!D95</f>
        <v>0</v>
      </c>
      <c r="C73" s="405">
        <f>'Biodiversity Impact Assessment'!E95</f>
        <v>0</v>
      </c>
      <c r="D73" s="406">
        <f>'Biodiversity Impact Assessment'!F95</f>
      </c>
      <c r="E73" s="653" t="str">
        <f>IF(D73="High",'Biodiversity Impact Assessment'!$O95,"0.00")</f>
        <v>0.00</v>
      </c>
      <c r="F73" s="421" t="str">
        <f>IF(D73="Medium-High",'Biodiversity Impact Assessment'!$O95,"0.00")</f>
        <v>0.00</v>
      </c>
      <c r="G73" s="421" t="str">
        <f>IF(D73="Medium",'Biodiversity Impact Assessment'!$O95,"0.00")</f>
        <v>0.00</v>
      </c>
      <c r="H73" s="421" t="str">
        <f>IF(D73="Medium-Low",'Biodiversity Impact Assessment'!$O95,"0.00")</f>
        <v>0.00</v>
      </c>
      <c r="I73" s="422" t="str">
        <f>IF(D73="Low",'Biodiversity Impact Assessment'!$O95,"0.00")</f>
        <v>0.00</v>
      </c>
      <c r="J73" s="13"/>
    </row>
    <row r="74" spans="1:10" ht="12.75">
      <c r="A74" s="7"/>
      <c r="B74" s="437">
        <f>'Biodiversity Impact Assessment'!D96</f>
        <v>0</v>
      </c>
      <c r="C74" s="405">
        <f>'Biodiversity Impact Assessment'!E96</f>
        <v>0</v>
      </c>
      <c r="D74" s="406">
        <f>'Biodiversity Impact Assessment'!F96</f>
      </c>
      <c r="E74" s="653" t="str">
        <f>IF(D74="High",'Biodiversity Impact Assessment'!$O96,"0.00")</f>
        <v>0.00</v>
      </c>
      <c r="F74" s="421" t="str">
        <f>IF(D74="Medium-High",'Biodiversity Impact Assessment'!$O96,"0.00")</f>
        <v>0.00</v>
      </c>
      <c r="G74" s="421" t="str">
        <f>IF(D74="Medium",'Biodiversity Impact Assessment'!$O96,"0.00")</f>
        <v>0.00</v>
      </c>
      <c r="H74" s="421" t="str">
        <f>IF(D74="Medium-Low",'Biodiversity Impact Assessment'!$O96,"0.00")</f>
        <v>0.00</v>
      </c>
      <c r="I74" s="422" t="str">
        <f>IF(D74="Low",'Biodiversity Impact Assessment'!$O96,"0.00")</f>
        <v>0.00</v>
      </c>
      <c r="J74" s="13"/>
    </row>
    <row r="75" spans="1:9" ht="12.75">
      <c r="A75" s="7"/>
      <c r="B75" s="437">
        <f>'Biodiversity Impact Assessment'!D97</f>
        <v>0</v>
      </c>
      <c r="C75" s="405">
        <f>'Biodiversity Impact Assessment'!E97</f>
        <v>0</v>
      </c>
      <c r="D75" s="406">
        <f>'Biodiversity Impact Assessment'!F97</f>
      </c>
      <c r="E75" s="653" t="str">
        <f>IF(D75="High",'Biodiversity Impact Assessment'!$O97,"0.00")</f>
        <v>0.00</v>
      </c>
      <c r="F75" s="421" t="str">
        <f>IF(D75="Medium-High",'Biodiversity Impact Assessment'!$O97,"0.00")</f>
        <v>0.00</v>
      </c>
      <c r="G75" s="421" t="str">
        <f>IF(D75="Medium",'Biodiversity Impact Assessment'!$O97,"0.00")</f>
        <v>0.00</v>
      </c>
      <c r="H75" s="421" t="str">
        <f>IF(D75="Medium-Low",'Biodiversity Impact Assessment'!$O97,"0.00")</f>
        <v>0.00</v>
      </c>
      <c r="I75" s="422" t="str">
        <f>IF(D75="Low",'Biodiversity Impact Assessment'!$O97,"0.00")</f>
        <v>0.00</v>
      </c>
    </row>
    <row r="76" spans="2:9" s="7" customFormat="1" ht="13.5" thickBot="1">
      <c r="B76" s="438">
        <f>'Biodiversity Impact Assessment'!D98</f>
        <v>0</v>
      </c>
      <c r="C76" s="407">
        <f>'Biodiversity Impact Assessment'!E98</f>
        <v>0</v>
      </c>
      <c r="D76" s="408">
        <f>'Biodiversity Impact Assessment'!F98</f>
      </c>
      <c r="E76" s="654" t="str">
        <f>IF(D76="High",'Biodiversity Impact Assessment'!$O98,"0.00")</f>
        <v>0.00</v>
      </c>
      <c r="F76" s="655" t="str">
        <f>IF(D76="Medium-High",'Biodiversity Impact Assessment'!$O98,"0.00")</f>
        <v>0.00</v>
      </c>
      <c r="G76" s="655" t="str">
        <f>IF(D76="Medium",'Biodiversity Impact Assessment'!$O98,"0.00")</f>
        <v>0.00</v>
      </c>
      <c r="H76" s="655" t="str">
        <f>IF(D76="Medium-Low",'Biodiversity Impact Assessment'!$O98,"0.00")</f>
        <v>0.00</v>
      </c>
      <c r="I76" s="656" t="str">
        <f>IF(D76="Low",'Biodiversity Impact Assessment'!$O98,"0.00")</f>
        <v>0.00</v>
      </c>
    </row>
    <row r="77" spans="2:9" s="7" customFormat="1" ht="13.5" thickBot="1">
      <c r="B77" s="20" t="s">
        <v>219</v>
      </c>
      <c r="C77" s="21">
        <f>SUM(C46:C76)</f>
        <v>15.736989999999999</v>
      </c>
      <c r="D77" s="26"/>
      <c r="E77" s="423">
        <f>SUM(E46:E76)</f>
        <v>56.3417511904762</v>
      </c>
      <c r="F77" s="424">
        <f>SUM(F46:F76)</f>
        <v>0</v>
      </c>
      <c r="G77" s="424">
        <f>SUM(G46:G76)</f>
        <v>0.9896142857142859</v>
      </c>
      <c r="H77" s="424">
        <f>SUM(H46:H76)</f>
        <v>0</v>
      </c>
      <c r="I77" s="425">
        <f>SUM(I46:I76)</f>
        <v>2.49492</v>
      </c>
    </row>
    <row r="78" s="7" customFormat="1" ht="12.75"/>
    <row r="79" s="7" customFormat="1" ht="13.5" thickBot="1"/>
    <row r="80" spans="2:9" s="7" customFormat="1" ht="13.5" thickBot="1">
      <c r="B80" s="11" t="s">
        <v>222</v>
      </c>
      <c r="E80" s="35" t="s">
        <v>52</v>
      </c>
      <c r="F80" s="641" t="s">
        <v>307</v>
      </c>
      <c r="G80" s="36" t="s">
        <v>76</v>
      </c>
      <c r="H80" s="642" t="s">
        <v>306</v>
      </c>
      <c r="I80" s="37" t="s">
        <v>54</v>
      </c>
    </row>
    <row r="81" spans="2:9" s="7" customFormat="1" ht="12.75">
      <c r="B81" s="825" t="s">
        <v>223</v>
      </c>
      <c r="C81" s="826"/>
      <c r="D81" s="826"/>
      <c r="E81" s="414">
        <f>E42</f>
        <v>6.48312</v>
      </c>
      <c r="F81" s="397">
        <f>F42</f>
        <v>0</v>
      </c>
      <c r="G81" s="397">
        <f>G42</f>
        <v>3.817640000000001</v>
      </c>
      <c r="H81" s="397">
        <f>H42</f>
        <v>27.286530000000003</v>
      </c>
      <c r="I81" s="415">
        <f>I42</f>
        <v>0</v>
      </c>
    </row>
    <row r="82" spans="2:9" s="7" customFormat="1" ht="13.5" thickBot="1">
      <c r="B82" s="827" t="s">
        <v>224</v>
      </c>
      <c r="C82" s="828"/>
      <c r="D82" s="828"/>
      <c r="E82" s="416">
        <f>E77</f>
        <v>56.3417511904762</v>
      </c>
      <c r="F82" s="417">
        <f>F77</f>
        <v>0</v>
      </c>
      <c r="G82" s="417">
        <f>G77</f>
        <v>0.9896142857142859</v>
      </c>
      <c r="H82" s="417">
        <f>H77</f>
        <v>0</v>
      </c>
      <c r="I82" s="418">
        <f>I77</f>
        <v>2.49492</v>
      </c>
    </row>
    <row r="83" spans="2:10" s="7" customFormat="1" ht="13.5" thickBot="1">
      <c r="B83" s="829" t="s">
        <v>272</v>
      </c>
      <c r="C83" s="830"/>
      <c r="D83" s="830"/>
      <c r="E83" s="32" t="s">
        <v>270</v>
      </c>
      <c r="F83" s="33" t="str">
        <f>IF((E81&gt;E82)*AND(F82&gt;F81),"Yes","No")</f>
        <v>No</v>
      </c>
      <c r="G83" s="33" t="str">
        <f>IF((E84+F84&gt;0)*AND(G82&gt;G81),"Yes","No")</f>
        <v>No</v>
      </c>
      <c r="H83" s="613" t="str">
        <f>IF((E84+F84+G84&gt;0)*AND(H82&gt;H81),"Yes","No")</f>
        <v>No</v>
      </c>
      <c r="I83" s="34" t="str">
        <f>IF(I81&lt;I82,"Yes","No")</f>
        <v>Yes</v>
      </c>
      <c r="J83" s="4"/>
    </row>
    <row r="84" spans="1:10" s="7" customFormat="1" ht="13.5" thickBot="1">
      <c r="A84" s="17"/>
      <c r="B84" s="819" t="s">
        <v>273</v>
      </c>
      <c r="C84" s="820"/>
      <c r="D84" s="820"/>
      <c r="E84" s="409" t="str">
        <f>IF(E82&lt;E81,E81-E82,"0")</f>
        <v>0</v>
      </c>
      <c r="F84" s="475" t="str">
        <f>IF((E85+F82)&lt;F81,F81-F82-E85,"0")</f>
        <v>0</v>
      </c>
      <c r="G84" s="475" t="str">
        <f>IF((F85+G82)&lt;G81,G81-G82-F85,"0")</f>
        <v>0</v>
      </c>
      <c r="H84" s="614" t="str">
        <f>IF((G85+H82)&lt;H81,H81-H82-G85,"0")</f>
        <v>0</v>
      </c>
      <c r="I84" s="410" t="str">
        <f>IF(I83="No",I81-I82,"0")</f>
        <v>0</v>
      </c>
      <c r="J84" s="13"/>
    </row>
    <row r="85" spans="1:10" s="7" customFormat="1" ht="13.5" thickBot="1">
      <c r="A85" s="17"/>
      <c r="B85" s="821" t="s">
        <v>271</v>
      </c>
      <c r="C85" s="822"/>
      <c r="D85" s="822"/>
      <c r="E85" s="411">
        <f>IF(E82&gt;E81,E82-E81,"0")</f>
        <v>49.8586311904762</v>
      </c>
      <c r="F85" s="476">
        <f>IF((E85+F82-F81-E84)&gt;0,E85+F82-F81-E84,"0")</f>
        <v>49.8586311904762</v>
      </c>
      <c r="G85" s="476">
        <f>IF((F85+G82-G81-F84-E84)&gt;0,F85+G82-G81-F84-E84,"0")</f>
        <v>47.03060547619049</v>
      </c>
      <c r="H85" s="615">
        <f>IF((G85+H82-H81-G84-F84-E84)&gt;0,G85+H82-H81-G84-F84-E84,"0")</f>
        <v>19.744075476190485</v>
      </c>
      <c r="I85" s="412" t="s">
        <v>112</v>
      </c>
      <c r="J85" s="40" t="s">
        <v>111</v>
      </c>
    </row>
    <row r="86" spans="2:10" s="7" customFormat="1" ht="13.5" thickBot="1">
      <c r="B86" s="821" t="s">
        <v>213</v>
      </c>
      <c r="C86" s="831"/>
      <c r="D86" s="831"/>
      <c r="E86" s="477" t="s">
        <v>112</v>
      </c>
      <c r="F86" s="478" t="str">
        <f>IF((F83="yes")*AND(E81&gt;E82)*AND(F82-F81&gt;E84),-E84,IF((F83="yes")*AND(E81&gt;E82)*AND(F82-F81&lt;E84),F81-F82,"0"))</f>
        <v>0</v>
      </c>
      <c r="G86" s="478" t="str">
        <f>IF((G83="yes")*AND(E84+F84&gt;0)*AND(G82-G81&gt;F84+E84),-E84-F84,IF((G83="yes")*AND(E84+F84&gt;0)*AND(G82-G81&lt;F84+E84),G81-G82,"0"))</f>
        <v>0</v>
      </c>
      <c r="H86" s="616" t="str">
        <f>IF((H83="yes")*AND(E84+F84+G84&gt;0)*AND(H82-H81&gt;G84+F84+E84),-E84-F84-G84,IF((H83="yes")*AND(E84+F84+G84&gt;0)*AND(G82-G81&lt;G84+F84+E84),H81-H82,"0"))</f>
        <v>0</v>
      </c>
      <c r="I86" s="413">
        <f>IF(I83="Yes",I81-I82,"0")</f>
        <v>-2.49492</v>
      </c>
      <c r="J86" s="435">
        <f>SUM(F86:I86)</f>
        <v>-2.49492</v>
      </c>
    </row>
    <row r="87" spans="8:9" s="7" customFormat="1" ht="12.75">
      <c r="H87" s="18"/>
      <c r="I87" s="3"/>
    </row>
    <row r="88" spans="8:9" s="7" customFormat="1" ht="12.75">
      <c r="H88" s="15"/>
      <c r="I88" s="3"/>
    </row>
    <row r="89" spans="2:10" s="7" customFormat="1" ht="41.25" customHeight="1">
      <c r="B89" s="817" t="s">
        <v>325</v>
      </c>
      <c r="C89" s="817"/>
      <c r="D89" s="817"/>
      <c r="E89" s="817"/>
      <c r="F89" s="817"/>
      <c r="G89" s="817"/>
      <c r="H89" s="817"/>
      <c r="I89" s="817"/>
      <c r="J89" s="13"/>
    </row>
    <row r="90" spans="2:7" s="7" customFormat="1" ht="12.75">
      <c r="B90" s="38"/>
      <c r="C90" s="39"/>
      <c r="D90" s="39"/>
      <c r="E90" s="39"/>
      <c r="F90" s="39"/>
      <c r="G90" s="39"/>
    </row>
    <row r="91" spans="2:7" s="7" customFormat="1" ht="26.25" customHeight="1">
      <c r="B91" s="823" t="s">
        <v>231</v>
      </c>
      <c r="C91" s="823"/>
      <c r="D91" s="823"/>
      <c r="E91" s="823"/>
      <c r="F91" s="823"/>
      <c r="G91" s="823"/>
    </row>
    <row r="92" spans="2:7" s="7" customFormat="1" ht="12.75">
      <c r="B92" s="818" t="s">
        <v>232</v>
      </c>
      <c r="C92" s="818"/>
      <c r="D92" s="818"/>
      <c r="E92" s="818"/>
      <c r="F92" s="818"/>
      <c r="G92" s="818"/>
    </row>
    <row r="93" s="7" customFormat="1" ht="12.75"/>
    <row r="94" s="7" customFormat="1" ht="12.75"/>
    <row r="95" s="7" customFormat="1" ht="12.75"/>
    <row r="96" s="7" customFormat="1" ht="12.75"/>
    <row r="97" s="7" customFormat="1" ht="12.75"/>
    <row r="98" s="7" customFormat="1" ht="12.75"/>
    <row r="99" s="7" customFormat="1" ht="12.75"/>
    <row r="100" s="7" customFormat="1" ht="12.75"/>
    <row r="101" s="7" customFormat="1" ht="12.75"/>
    <row r="102" s="7" customFormat="1" ht="12.75"/>
    <row r="103" s="7" customFormat="1" ht="12.75"/>
    <row r="104" s="7" customFormat="1" ht="12.75"/>
    <row r="105" s="7" customFormat="1" ht="12.75"/>
    <row r="106" s="7" customFormat="1" ht="12.75"/>
    <row r="107" s="7" customFormat="1" ht="12.75"/>
    <row r="108" s="7" customFormat="1" ht="12.75"/>
    <row r="109" s="7" customFormat="1" ht="12.75"/>
    <row r="110" s="7" customFormat="1" ht="12.75"/>
    <row r="111" s="7" customFormat="1" ht="12.75"/>
    <row r="112" s="7" customFormat="1" ht="12.75"/>
    <row r="113" s="7" customFormat="1" ht="12.75"/>
    <row r="114" s="7" customFormat="1" ht="12.75"/>
    <row r="115" s="7" customFormat="1" ht="12.75"/>
    <row r="116" s="7" customFormat="1" ht="12.75"/>
    <row r="117" s="7" customFormat="1" ht="12.75"/>
    <row r="118" s="7" customFormat="1" ht="12.75"/>
    <row r="119" s="7" customFormat="1" ht="12.75"/>
    <row r="120" s="7" customFormat="1" ht="12.75"/>
    <row r="121" s="7" customFormat="1" ht="12.75"/>
    <row r="122" s="7" customFormat="1" ht="12.75"/>
    <row r="123" s="7" customFormat="1" ht="12.75"/>
  </sheetData>
  <sheetProtection password="E252" sheet="1" selectLockedCells="1" selectUnlockedCells="1"/>
  <mergeCells count="10">
    <mergeCell ref="B89:I89"/>
    <mergeCell ref="B92:G92"/>
    <mergeCell ref="B84:D84"/>
    <mergeCell ref="B85:D85"/>
    <mergeCell ref="B91:G91"/>
    <mergeCell ref="B2:G2"/>
    <mergeCell ref="B81:D81"/>
    <mergeCell ref="B82:D82"/>
    <mergeCell ref="B83:D83"/>
    <mergeCell ref="B86:D86"/>
  </mergeCells>
  <printOptions/>
  <pageMargins left="0.7" right="0.7" top="0.75" bottom="0.75" header="0.3" footer="0.3"/>
  <pageSetup horizontalDpi="600" verticalDpi="600" orientation="portrait" paperSize="9" scale="60" r:id="rId1"/>
  <rowBreaks count="1" manualBreakCount="1">
    <brk id="43" max="7" man="1"/>
  </rowBreaks>
</worksheet>
</file>

<file path=xl/worksheets/sheet6.xml><?xml version="1.0" encoding="utf-8"?>
<worksheet xmlns="http://schemas.openxmlformats.org/spreadsheetml/2006/main" xmlns:r="http://schemas.openxmlformats.org/officeDocument/2006/relationships">
  <dimension ref="A1:K92"/>
  <sheetViews>
    <sheetView zoomScalePageLayoutView="0" workbookViewId="0" topLeftCell="A79">
      <selection activeCell="B2" sqref="B2:I2"/>
    </sheetView>
  </sheetViews>
  <sheetFormatPr defaultColWidth="9.140625" defaultRowHeight="12.75"/>
  <cols>
    <col min="1" max="1" width="2.8515625" style="0" customWidth="1"/>
    <col min="2" max="2" width="44.28125" style="0" customWidth="1"/>
    <col min="3" max="3" width="9.28125" style="0" customWidth="1"/>
    <col min="4" max="4" width="13.57421875" style="0" customWidth="1"/>
    <col min="5" max="9" width="18.57421875" style="0" customWidth="1"/>
    <col min="10" max="10" width="10.7109375" style="7" customWidth="1"/>
    <col min="11" max="27" width="9.140625" style="7" customWidth="1"/>
  </cols>
  <sheetData>
    <row r="1" spans="1:9" ht="12.75">
      <c r="A1" s="7"/>
      <c r="B1" s="7"/>
      <c r="C1" s="7"/>
      <c r="D1" s="7"/>
      <c r="E1" s="7"/>
      <c r="F1" s="7"/>
      <c r="G1" s="7"/>
      <c r="H1" s="7"/>
      <c r="I1" s="7"/>
    </row>
    <row r="2" spans="1:9" ht="12.75">
      <c r="A2" s="7"/>
      <c r="B2" s="824" t="s">
        <v>299</v>
      </c>
      <c r="C2" s="824"/>
      <c r="D2" s="824"/>
      <c r="E2" s="824"/>
      <c r="F2" s="824"/>
      <c r="G2" s="824"/>
      <c r="H2" s="824"/>
      <c r="I2" s="824"/>
    </row>
    <row r="3" spans="1:9" ht="13.5" thickBot="1">
      <c r="A3" s="7"/>
      <c r="B3" s="11" t="s">
        <v>214</v>
      </c>
      <c r="C3" s="7"/>
      <c r="D3" s="7"/>
      <c r="E3" s="7"/>
      <c r="F3" s="7"/>
      <c r="G3" s="7"/>
      <c r="H3" s="7"/>
      <c r="I3" s="7"/>
    </row>
    <row r="4" spans="1:9" ht="53.25" thickBot="1">
      <c r="A4" s="12"/>
      <c r="B4" s="22" t="s">
        <v>262</v>
      </c>
      <c r="C4" s="16" t="s">
        <v>308</v>
      </c>
      <c r="D4" s="27" t="s">
        <v>0</v>
      </c>
      <c r="E4" s="29" t="s">
        <v>263</v>
      </c>
      <c r="F4" s="30" t="s">
        <v>310</v>
      </c>
      <c r="G4" s="30" t="s">
        <v>264</v>
      </c>
      <c r="H4" s="30" t="s">
        <v>311</v>
      </c>
      <c r="I4" s="31" t="s">
        <v>265</v>
      </c>
    </row>
    <row r="5" spans="1:9" ht="13.5" thickBot="1">
      <c r="A5" s="12"/>
      <c r="B5" s="22" t="s">
        <v>295</v>
      </c>
      <c r="C5" s="16"/>
      <c r="D5" s="27"/>
      <c r="E5" s="395"/>
      <c r="F5" s="16"/>
      <c r="G5" s="16"/>
      <c r="H5" s="27"/>
      <c r="I5" s="396"/>
    </row>
    <row r="6" spans="1:9" ht="12.75">
      <c r="A6" s="7"/>
      <c r="B6" s="441" t="str">
        <f>'Linear Impact Assessment'!D15</f>
        <v>Hedges: Intact hedge</v>
      </c>
      <c r="C6" s="447">
        <f>'Linear Impact Assessment'!N15</f>
        <v>0.16000000000000003</v>
      </c>
      <c r="D6" s="448" t="str">
        <f>'Linear Impact Assessment'!F15</f>
        <v>Medium</v>
      </c>
      <c r="E6" s="453" t="str">
        <f>IF(D6="High",'Linear Impact Assessment'!O15,"0.00")</f>
        <v>0.00</v>
      </c>
      <c r="F6" s="454" t="str">
        <f>IF(D6="Medium-High",'Linear Impact Assessment'!O15,"0.00")</f>
        <v>0.00</v>
      </c>
      <c r="G6" s="454">
        <f>IF(D6="Medium",'Linear Impact Assessment'!O15,"0.00")</f>
        <v>1.2800000000000002</v>
      </c>
      <c r="H6" s="454" t="str">
        <f>IF(D6="Medium-Low",'Linear Impact Assessment'!O15,"0.00")</f>
        <v>0.00</v>
      </c>
      <c r="I6" s="455" t="str">
        <f>IF(D6="Low",'Linear Impact Assessment'!O15,"0.00")</f>
        <v>0.00</v>
      </c>
    </row>
    <row r="7" spans="1:9" ht="12.75">
      <c r="A7" s="7"/>
      <c r="B7" s="440" t="str">
        <f>'Linear Impact Assessment'!D16</f>
        <v>Hedges: Native species rich hedge with trees</v>
      </c>
      <c r="C7" s="449">
        <f>'Linear Impact Assessment'!N16</f>
      </c>
      <c r="D7" s="450" t="str">
        <f>'Linear Impact Assessment'!F16</f>
        <v>High</v>
      </c>
      <c r="E7" s="456">
        <f>IF(D7="High",'Linear Impact Assessment'!O16,"0.00")</f>
      </c>
      <c r="F7" s="457" t="str">
        <f>IF(D7="Medium-High",'Linear Impact Assessment'!O16,"0.00")</f>
        <v>0.00</v>
      </c>
      <c r="G7" s="457" t="str">
        <f>IF(D7="Medium",'Linear Impact Assessment'!O16,"0.00")</f>
        <v>0.00</v>
      </c>
      <c r="H7" s="457" t="str">
        <f>IF(D7="Medium-Low",'Linear Impact Assessment'!O16,"0.00")</f>
        <v>0.00</v>
      </c>
      <c r="I7" s="458" t="str">
        <f>IF(D7="Low",'Linear Impact Assessment'!O16,"0.00")</f>
        <v>0.00</v>
      </c>
    </row>
    <row r="8" spans="1:9" ht="12.75">
      <c r="A8" s="7"/>
      <c r="B8" s="440" t="str">
        <f>'Linear Impact Assessment'!D17</f>
        <v>Ditches: Dry ditch</v>
      </c>
      <c r="C8" s="449">
        <f>'Linear Impact Assessment'!N17</f>
      </c>
      <c r="D8" s="450" t="str">
        <f>'Linear Impact Assessment'!F17</f>
        <v>Low</v>
      </c>
      <c r="E8" s="456" t="str">
        <f>IF(D8="High",'Linear Impact Assessment'!O17,"0.00")</f>
        <v>0.00</v>
      </c>
      <c r="F8" s="457" t="str">
        <f>IF(D8="Medium-High",'Linear Impact Assessment'!O17,"0.00")</f>
        <v>0.00</v>
      </c>
      <c r="G8" s="457" t="str">
        <f>IF(D8="Medium",'Linear Impact Assessment'!O17,"0.00")</f>
        <v>0.00</v>
      </c>
      <c r="H8" s="457" t="str">
        <f>IF(D8="Medium-Low",'Linear Impact Assessment'!O17,"0.00")</f>
        <v>0.00</v>
      </c>
      <c r="I8" s="458">
        <f>IF(D8="Low",'Linear Impact Assessment'!O17,"0.00")</f>
      </c>
    </row>
    <row r="9" spans="1:9" ht="12.75">
      <c r="A9" s="7"/>
      <c r="B9" s="440" t="str">
        <f>'Linear Impact Assessment'!D18</f>
        <v>Ditches: Running water</v>
      </c>
      <c r="C9" s="449">
        <f>'Linear Impact Assessment'!N18</f>
        <v>0.08999999999999997</v>
      </c>
      <c r="D9" s="450" t="str">
        <f>'Linear Impact Assessment'!F18</f>
        <v>High</v>
      </c>
      <c r="E9" s="456">
        <f>IF(D9="High",'Linear Impact Assessment'!O18,"0.00")</f>
        <v>0.5399999999999998</v>
      </c>
      <c r="F9" s="457" t="str">
        <f>IF(D9="Medium-High",'Linear Impact Assessment'!O18,"0.00")</f>
        <v>0.00</v>
      </c>
      <c r="G9" s="457" t="str">
        <f>IF(D9="Medium",'Linear Impact Assessment'!O18,"0.00")</f>
        <v>0.00</v>
      </c>
      <c r="H9" s="457" t="str">
        <f>IF(D9="Medium-Low",'Linear Impact Assessment'!O18,"0.00")</f>
        <v>0.00</v>
      </c>
      <c r="I9" s="458" t="str">
        <f>IF(D9="Low",'Linear Impact Assessment'!O18,"0.00")</f>
        <v>0.00</v>
      </c>
    </row>
    <row r="10" spans="1:9" ht="12.75">
      <c r="A10" s="7"/>
      <c r="B10" s="440">
        <f>'Linear Impact Assessment'!D19</f>
        <v>0</v>
      </c>
      <c r="C10" s="449">
        <f>'Linear Impact Assessment'!N19</f>
      </c>
      <c r="D10" s="450">
        <f>'Linear Impact Assessment'!F19</f>
      </c>
      <c r="E10" s="456" t="str">
        <f>IF(D10="High",'Linear Impact Assessment'!O19,"0.00")</f>
        <v>0.00</v>
      </c>
      <c r="F10" s="457" t="str">
        <f>IF(D10="Medium-High",'Linear Impact Assessment'!O19,"0.00")</f>
        <v>0.00</v>
      </c>
      <c r="G10" s="457" t="str">
        <f>IF(D10="Medium",'Linear Impact Assessment'!O19,"0.00")</f>
        <v>0.00</v>
      </c>
      <c r="H10" s="457" t="str">
        <f>IF(D10="Medium-Low",'Linear Impact Assessment'!O19,"0.00")</f>
        <v>0.00</v>
      </c>
      <c r="I10" s="458" t="str">
        <f>IF(D10="Low",'Linear Impact Assessment'!O19,"0.00")</f>
        <v>0.00</v>
      </c>
    </row>
    <row r="11" spans="1:9" ht="12.75">
      <c r="A11" s="7"/>
      <c r="B11" s="440">
        <f>'Linear Impact Assessment'!D20</f>
        <v>0</v>
      </c>
      <c r="C11" s="449">
        <f>'Linear Impact Assessment'!N20</f>
      </c>
      <c r="D11" s="450">
        <f>'Linear Impact Assessment'!F20</f>
      </c>
      <c r="E11" s="456" t="str">
        <f>IF(D11="High",'Linear Impact Assessment'!O20,"0.00")</f>
        <v>0.00</v>
      </c>
      <c r="F11" s="457" t="str">
        <f>IF(D11="Medium-High",'Linear Impact Assessment'!O20,"0.00")</f>
        <v>0.00</v>
      </c>
      <c r="G11" s="457" t="str">
        <f>IF(D11="Medium",'Linear Impact Assessment'!O20,"0.00")</f>
        <v>0.00</v>
      </c>
      <c r="H11" s="457" t="str">
        <f>IF(D11="Medium-Low",'Linear Impact Assessment'!O20,"0.00")</f>
        <v>0.00</v>
      </c>
      <c r="I11" s="458" t="str">
        <f>IF(D11="Low",'Linear Impact Assessment'!O20,"0.00")</f>
        <v>0.00</v>
      </c>
    </row>
    <row r="12" spans="1:9" ht="12.75">
      <c r="A12" s="7"/>
      <c r="B12" s="440">
        <f>'Linear Impact Assessment'!D21</f>
        <v>0</v>
      </c>
      <c r="C12" s="449">
        <f>'Linear Impact Assessment'!N21</f>
      </c>
      <c r="D12" s="450">
        <f>'Linear Impact Assessment'!F21</f>
      </c>
      <c r="E12" s="456" t="str">
        <f>IF(D12="High",'Linear Impact Assessment'!O21,"0.00")</f>
        <v>0.00</v>
      </c>
      <c r="F12" s="457" t="str">
        <f>IF(D12="Medium-High",'Linear Impact Assessment'!O21,"0.00")</f>
        <v>0.00</v>
      </c>
      <c r="G12" s="457" t="str">
        <f>IF(D12="Medium",'Linear Impact Assessment'!O21,"0.00")</f>
        <v>0.00</v>
      </c>
      <c r="H12" s="457" t="str">
        <f>IF(D12="Medium-Low",'Linear Impact Assessment'!O21,"0.00")</f>
        <v>0.00</v>
      </c>
      <c r="I12" s="458" t="str">
        <f>IF(D12="Low",'Linear Impact Assessment'!O21,"0.00")</f>
        <v>0.00</v>
      </c>
    </row>
    <row r="13" spans="1:9" ht="12.75">
      <c r="A13" s="7"/>
      <c r="B13" s="440">
        <f>'Linear Impact Assessment'!D22</f>
        <v>0</v>
      </c>
      <c r="C13" s="449">
        <f>'Linear Impact Assessment'!N22</f>
      </c>
      <c r="D13" s="450">
        <f>'Linear Impact Assessment'!F22</f>
      </c>
      <c r="E13" s="456" t="str">
        <f>IF(D13="High",'Linear Impact Assessment'!O22,"0.00")</f>
        <v>0.00</v>
      </c>
      <c r="F13" s="457" t="str">
        <f>IF(D13="Medium-High",'Linear Impact Assessment'!O22,"0.00")</f>
        <v>0.00</v>
      </c>
      <c r="G13" s="457" t="str">
        <f>IF(D13="Medium",'Linear Impact Assessment'!O22,"0.00")</f>
        <v>0.00</v>
      </c>
      <c r="H13" s="457" t="str">
        <f>IF(D13="Medium-Low",'Linear Impact Assessment'!O22,"0.00")</f>
        <v>0.00</v>
      </c>
      <c r="I13" s="458" t="str">
        <f>IF(D13="Low",'Linear Impact Assessment'!O22,"0.00")</f>
        <v>0.00</v>
      </c>
    </row>
    <row r="14" spans="1:9" ht="12.75">
      <c r="A14" s="7"/>
      <c r="B14" s="440">
        <f>'Linear Impact Assessment'!D23</f>
        <v>0</v>
      </c>
      <c r="C14" s="449">
        <f>'Linear Impact Assessment'!N23</f>
      </c>
      <c r="D14" s="450">
        <f>'Linear Impact Assessment'!F23</f>
      </c>
      <c r="E14" s="456" t="str">
        <f>IF(D14="High",'Linear Impact Assessment'!O23,"0.00")</f>
        <v>0.00</v>
      </c>
      <c r="F14" s="457" t="str">
        <f>IF(D14="Medium-High",'Linear Impact Assessment'!O23,"0.00")</f>
        <v>0.00</v>
      </c>
      <c r="G14" s="457" t="str">
        <f>IF(D14="Medium",'Linear Impact Assessment'!O23,"0.00")</f>
        <v>0.00</v>
      </c>
      <c r="H14" s="457" t="str">
        <f>IF(D14="Medium-Low",'Linear Impact Assessment'!O23,"0.00")</f>
        <v>0.00</v>
      </c>
      <c r="I14" s="458" t="str">
        <f>IF(D14="Low",'Linear Impact Assessment'!O23,"0.00")</f>
        <v>0.00</v>
      </c>
    </row>
    <row r="15" spans="1:9" ht="12.75">
      <c r="A15" s="7"/>
      <c r="B15" s="440">
        <f>'Linear Impact Assessment'!D24</f>
        <v>0</v>
      </c>
      <c r="C15" s="449">
        <f>'Linear Impact Assessment'!N24</f>
      </c>
      <c r="D15" s="450">
        <f>'Linear Impact Assessment'!F24</f>
      </c>
      <c r="E15" s="456" t="str">
        <f>IF(D15="High",'Linear Impact Assessment'!O24,"0.00")</f>
        <v>0.00</v>
      </c>
      <c r="F15" s="457" t="str">
        <f>IF(D15="Medium-High",'Linear Impact Assessment'!O24,"0.00")</f>
        <v>0.00</v>
      </c>
      <c r="G15" s="457" t="str">
        <f>IF(D15="Medium",'Linear Impact Assessment'!O24,"0.00")</f>
        <v>0.00</v>
      </c>
      <c r="H15" s="457" t="str">
        <f>IF(D15="Medium-Low",'Linear Impact Assessment'!O24,"0.00")</f>
        <v>0.00</v>
      </c>
      <c r="I15" s="458" t="str">
        <f>IF(D15="Low",'Linear Impact Assessment'!O24,"0.00")</f>
        <v>0.00</v>
      </c>
    </row>
    <row r="16" spans="1:9" ht="12.75">
      <c r="A16" s="7"/>
      <c r="B16" s="440">
        <f>'Linear Impact Assessment'!D25</f>
        <v>0</v>
      </c>
      <c r="C16" s="449">
        <f>'Linear Impact Assessment'!N25</f>
      </c>
      <c r="D16" s="450">
        <f>'Linear Impact Assessment'!F25</f>
      </c>
      <c r="E16" s="456" t="str">
        <f>IF(D16="High",'Linear Impact Assessment'!O25,"0.00")</f>
        <v>0.00</v>
      </c>
      <c r="F16" s="457" t="str">
        <f>IF(D16="Medium-High",'Linear Impact Assessment'!O25,"0.00")</f>
        <v>0.00</v>
      </c>
      <c r="G16" s="457" t="str">
        <f>IF(D16="Medium",'Linear Impact Assessment'!O25,"0.00")</f>
        <v>0.00</v>
      </c>
      <c r="H16" s="457" t="str">
        <f>IF(D16="Medium-Low",'Linear Impact Assessment'!O25,"0.00")</f>
        <v>0.00</v>
      </c>
      <c r="I16" s="458" t="str">
        <f>IF(D16="Low",'Linear Impact Assessment'!O25,"0.00")</f>
        <v>0.00</v>
      </c>
    </row>
    <row r="17" spans="1:9" ht="12.75">
      <c r="A17" s="7"/>
      <c r="B17" s="440">
        <f>'Linear Impact Assessment'!D26</f>
        <v>0</v>
      </c>
      <c r="C17" s="449">
        <f>'Linear Impact Assessment'!N26</f>
      </c>
      <c r="D17" s="450">
        <f>'Linear Impact Assessment'!F26</f>
      </c>
      <c r="E17" s="456" t="str">
        <f>IF(D17="High",'Linear Impact Assessment'!O26,"0.00")</f>
        <v>0.00</v>
      </c>
      <c r="F17" s="457" t="str">
        <f>IF(D17="Medium-High",'Linear Impact Assessment'!O26,"0.00")</f>
        <v>0.00</v>
      </c>
      <c r="G17" s="457" t="str">
        <f>IF(D17="Medium",'Linear Impact Assessment'!O26,"0.00")</f>
        <v>0.00</v>
      </c>
      <c r="H17" s="457" t="str">
        <f>IF(D17="Medium-Low",'Linear Impact Assessment'!O26,"0.00")</f>
        <v>0.00</v>
      </c>
      <c r="I17" s="458" t="str">
        <f>IF(D17="Low",'Linear Impact Assessment'!O26,"0.00")</f>
        <v>0.00</v>
      </c>
    </row>
    <row r="18" spans="1:9" ht="12.75">
      <c r="A18" s="7"/>
      <c r="B18" s="440">
        <f>'Linear Impact Assessment'!D27</f>
        <v>0</v>
      </c>
      <c r="C18" s="449">
        <f>'Linear Impact Assessment'!N27</f>
      </c>
      <c r="D18" s="450">
        <f>'Linear Impact Assessment'!F27</f>
      </c>
      <c r="E18" s="456" t="str">
        <f>IF(D18="High",'Linear Impact Assessment'!O27,"0.00")</f>
        <v>0.00</v>
      </c>
      <c r="F18" s="457" t="str">
        <f>IF(D18="Medium-High",'Linear Impact Assessment'!O27,"0.00")</f>
        <v>0.00</v>
      </c>
      <c r="G18" s="457" t="str">
        <f>IF(D18="Medium",'Linear Impact Assessment'!O27,"0.00")</f>
        <v>0.00</v>
      </c>
      <c r="H18" s="457" t="str">
        <f>IF(D18="Medium-Low",'Linear Impact Assessment'!O27,"0.00")</f>
        <v>0.00</v>
      </c>
      <c r="I18" s="458" t="str">
        <f>IF(D18="Low",'Linear Impact Assessment'!O27,"0.00")</f>
        <v>0.00</v>
      </c>
    </row>
    <row r="19" spans="1:9" ht="12.75">
      <c r="A19" s="7"/>
      <c r="B19" s="440">
        <f>'Linear Impact Assessment'!D28</f>
        <v>0</v>
      </c>
      <c r="C19" s="449">
        <f>'Linear Impact Assessment'!N28</f>
      </c>
      <c r="D19" s="450">
        <f>'Linear Impact Assessment'!F28</f>
      </c>
      <c r="E19" s="456" t="str">
        <f>IF(D19="High",'Linear Impact Assessment'!O28,"0.00")</f>
        <v>0.00</v>
      </c>
      <c r="F19" s="457" t="str">
        <f>IF(D19="Medium-High",'Linear Impact Assessment'!O28,"0.00")</f>
        <v>0.00</v>
      </c>
      <c r="G19" s="457" t="str">
        <f>IF(D19="Medium",'Linear Impact Assessment'!O28,"0.00")</f>
        <v>0.00</v>
      </c>
      <c r="H19" s="457" t="str">
        <f>IF(D19="Medium-Low",'Linear Impact Assessment'!O28,"0.00")</f>
        <v>0.00</v>
      </c>
      <c r="I19" s="458" t="str">
        <f>IF(D19="Low",'Linear Impact Assessment'!O28,"0.00")</f>
        <v>0.00</v>
      </c>
    </row>
    <row r="20" spans="1:9" ht="12.75">
      <c r="A20" s="7"/>
      <c r="B20" s="440">
        <f>'Linear Impact Assessment'!D29</f>
        <v>0</v>
      </c>
      <c r="C20" s="449">
        <f>'Linear Impact Assessment'!N29</f>
      </c>
      <c r="D20" s="450">
        <f>'Linear Impact Assessment'!F29</f>
      </c>
      <c r="E20" s="456" t="str">
        <f>IF(D20="High",'Linear Impact Assessment'!O29,"0.00")</f>
        <v>0.00</v>
      </c>
      <c r="F20" s="457" t="str">
        <f>IF(D20="Medium-High",'Linear Impact Assessment'!O29,"0.00")</f>
        <v>0.00</v>
      </c>
      <c r="G20" s="457" t="str">
        <f>IF(D20="Medium",'Linear Impact Assessment'!O29,"0.00")</f>
        <v>0.00</v>
      </c>
      <c r="H20" s="457" t="str">
        <f>IF(D20="Medium-Low",'Linear Impact Assessment'!O29,"0.00")</f>
        <v>0.00</v>
      </c>
      <c r="I20" s="458" t="str">
        <f>IF(D20="Low",'Linear Impact Assessment'!O29,"0.00")</f>
        <v>0.00</v>
      </c>
    </row>
    <row r="21" spans="1:9" ht="12.75">
      <c r="A21" s="7"/>
      <c r="B21" s="440">
        <f>'Linear Impact Assessment'!D30</f>
        <v>0</v>
      </c>
      <c r="C21" s="449">
        <f>'Linear Impact Assessment'!N30</f>
      </c>
      <c r="D21" s="450">
        <f>'Linear Impact Assessment'!F30</f>
      </c>
      <c r="E21" s="456" t="str">
        <f>IF(D21="High",'Linear Impact Assessment'!O30,"0.00")</f>
        <v>0.00</v>
      </c>
      <c r="F21" s="457" t="str">
        <f>IF(D21="Medium-High",'Linear Impact Assessment'!O30,"0.00")</f>
        <v>0.00</v>
      </c>
      <c r="G21" s="457" t="str">
        <f>IF(D21="Medium",'Linear Impact Assessment'!O30,"0.00")</f>
        <v>0.00</v>
      </c>
      <c r="H21" s="457" t="str">
        <f>IF(D21="Medium-Low",'Linear Impact Assessment'!O30,"0.00")</f>
        <v>0.00</v>
      </c>
      <c r="I21" s="458" t="str">
        <f>IF(D21="Low",'Linear Impact Assessment'!O30,"0.00")</f>
        <v>0.00</v>
      </c>
    </row>
    <row r="22" spans="1:9" ht="12.75">
      <c r="A22" s="7"/>
      <c r="B22" s="440">
        <f>'Linear Impact Assessment'!D31</f>
        <v>0</v>
      </c>
      <c r="C22" s="449">
        <f>'Linear Impact Assessment'!N31</f>
      </c>
      <c r="D22" s="450">
        <f>'Linear Impact Assessment'!F31</f>
      </c>
      <c r="E22" s="456" t="str">
        <f>IF(D22="High",'Linear Impact Assessment'!O31,"0.00")</f>
        <v>0.00</v>
      </c>
      <c r="F22" s="457" t="str">
        <f>IF(D22="Medium-High",'Linear Impact Assessment'!O31,"0.00")</f>
        <v>0.00</v>
      </c>
      <c r="G22" s="457" t="str">
        <f>IF(D22="Medium",'Linear Impact Assessment'!O31,"0.00")</f>
        <v>0.00</v>
      </c>
      <c r="H22" s="457" t="str">
        <f>IF(D22="Medium-Low",'Linear Impact Assessment'!O31,"0.00")</f>
        <v>0.00</v>
      </c>
      <c r="I22" s="458" t="str">
        <f>IF(D22="Low",'Linear Impact Assessment'!O31,"0.00")</f>
        <v>0.00</v>
      </c>
    </row>
    <row r="23" spans="1:9" ht="12.75">
      <c r="A23" s="7"/>
      <c r="B23" s="440">
        <f>'Linear Impact Assessment'!D32</f>
        <v>0</v>
      </c>
      <c r="C23" s="449">
        <f>'Linear Impact Assessment'!N32</f>
      </c>
      <c r="D23" s="450">
        <f>'Linear Impact Assessment'!F32</f>
      </c>
      <c r="E23" s="456" t="str">
        <f>IF(D23="High",'Linear Impact Assessment'!O32,"0.00")</f>
        <v>0.00</v>
      </c>
      <c r="F23" s="457" t="str">
        <f>IF(D23="Medium-High",'Linear Impact Assessment'!O32,"0.00")</f>
        <v>0.00</v>
      </c>
      <c r="G23" s="457" t="str">
        <f>IF(D23="Medium",'Linear Impact Assessment'!O32,"0.00")</f>
        <v>0.00</v>
      </c>
      <c r="H23" s="457" t="str">
        <f>IF(D23="Medium-Low",'Linear Impact Assessment'!O32,"0.00")</f>
        <v>0.00</v>
      </c>
      <c r="I23" s="458" t="str">
        <f>IF(D23="Low",'Linear Impact Assessment'!O32,"0.00")</f>
        <v>0.00</v>
      </c>
    </row>
    <row r="24" spans="1:9" ht="12.75">
      <c r="A24" s="7"/>
      <c r="B24" s="440">
        <f>'Linear Impact Assessment'!D33</f>
        <v>0</v>
      </c>
      <c r="C24" s="449">
        <f>'Linear Impact Assessment'!N33</f>
      </c>
      <c r="D24" s="450">
        <f>'Linear Impact Assessment'!F33</f>
      </c>
      <c r="E24" s="456" t="str">
        <f>IF(D24="High",'Linear Impact Assessment'!O33,"0.00")</f>
        <v>0.00</v>
      </c>
      <c r="F24" s="457" t="str">
        <f>IF(D24="Medium-High",'Linear Impact Assessment'!O33,"0.00")</f>
        <v>0.00</v>
      </c>
      <c r="G24" s="457" t="str">
        <f>IF(D24="Medium",'Linear Impact Assessment'!O33,"0.00")</f>
        <v>0.00</v>
      </c>
      <c r="H24" s="457" t="str">
        <f>IF(D24="Medium-Low",'Linear Impact Assessment'!O33,"0.00")</f>
        <v>0.00</v>
      </c>
      <c r="I24" s="458" t="str">
        <f>IF(D24="Low",'Linear Impact Assessment'!O33,"0.00")</f>
        <v>0.00</v>
      </c>
    </row>
    <row r="25" spans="1:9" ht="12.75">
      <c r="A25" s="7"/>
      <c r="B25" s="440">
        <f>'Linear Impact Assessment'!D34</f>
        <v>0</v>
      </c>
      <c r="C25" s="449">
        <f>'Linear Impact Assessment'!N34</f>
      </c>
      <c r="D25" s="450">
        <f>'Linear Impact Assessment'!F34</f>
      </c>
      <c r="E25" s="456" t="str">
        <f>IF(D25="High",'Linear Impact Assessment'!O34,"0.00")</f>
        <v>0.00</v>
      </c>
      <c r="F25" s="457" t="str">
        <f>IF(D25="Medium-High",'Linear Impact Assessment'!O34,"0.00")</f>
        <v>0.00</v>
      </c>
      <c r="G25" s="457" t="str">
        <f>IF(D25="Medium",'Linear Impact Assessment'!O34,"0.00")</f>
        <v>0.00</v>
      </c>
      <c r="H25" s="457" t="str">
        <f>IF(D25="Medium-Low",'Linear Impact Assessment'!O34,"0.00")</f>
        <v>0.00</v>
      </c>
      <c r="I25" s="458" t="str">
        <f>IF(D25="Low",'Linear Impact Assessment'!O34,"0.00")</f>
        <v>0.00</v>
      </c>
    </row>
    <row r="26" spans="1:9" ht="12.75">
      <c r="A26" s="7"/>
      <c r="B26" s="440">
        <f>'Linear Impact Assessment'!D35</f>
        <v>0</v>
      </c>
      <c r="C26" s="449">
        <f>'Linear Impact Assessment'!N35</f>
      </c>
      <c r="D26" s="450">
        <f>'Linear Impact Assessment'!F35</f>
      </c>
      <c r="E26" s="456" t="str">
        <f>IF(D26="High",'Linear Impact Assessment'!O35,"0.00")</f>
        <v>0.00</v>
      </c>
      <c r="F26" s="457" t="str">
        <f>IF(D26="Medium-High",'Linear Impact Assessment'!O35,"0.00")</f>
        <v>0.00</v>
      </c>
      <c r="G26" s="457" t="str">
        <f>IF(D26="Medium",'Linear Impact Assessment'!O35,"0.00")</f>
        <v>0.00</v>
      </c>
      <c r="H26" s="457" t="str">
        <f>IF(D26="Medium-Low",'Linear Impact Assessment'!O35,"0.00")</f>
        <v>0.00</v>
      </c>
      <c r="I26" s="458" t="str">
        <f>IF(D26="Low",'Linear Impact Assessment'!O35,"0.00")</f>
        <v>0.00</v>
      </c>
    </row>
    <row r="27" spans="1:9" ht="12.75">
      <c r="A27" s="7"/>
      <c r="B27" s="440">
        <f>'Linear Impact Assessment'!D36</f>
        <v>0</v>
      </c>
      <c r="C27" s="449">
        <f>'Linear Impact Assessment'!N36</f>
      </c>
      <c r="D27" s="450">
        <f>'Linear Impact Assessment'!F36</f>
      </c>
      <c r="E27" s="456" t="str">
        <f>IF(D27="High",'Linear Impact Assessment'!O36,"0.00")</f>
        <v>0.00</v>
      </c>
      <c r="F27" s="457" t="str">
        <f>IF(D27="Medium-High",'Linear Impact Assessment'!O36,"0.00")</f>
        <v>0.00</v>
      </c>
      <c r="G27" s="457" t="str">
        <f>IF(D27="Medium",'Linear Impact Assessment'!O36,"0.00")</f>
        <v>0.00</v>
      </c>
      <c r="H27" s="457" t="str">
        <f>IF(D27="Medium-Low",'Linear Impact Assessment'!O36,"0.00")</f>
        <v>0.00</v>
      </c>
      <c r="I27" s="458" t="str">
        <f>IF(D27="Low",'Linear Impact Assessment'!O36,"0.00")</f>
        <v>0.00</v>
      </c>
    </row>
    <row r="28" spans="1:9" ht="12.75">
      <c r="A28" s="7"/>
      <c r="B28" s="440">
        <f>'Linear Impact Assessment'!D37</f>
        <v>0</v>
      </c>
      <c r="C28" s="449">
        <f>'Linear Impact Assessment'!N37</f>
      </c>
      <c r="D28" s="450">
        <f>'Linear Impact Assessment'!F37</f>
      </c>
      <c r="E28" s="456" t="str">
        <f>IF(D28="High",'Linear Impact Assessment'!O37,"0.00")</f>
        <v>0.00</v>
      </c>
      <c r="F28" s="457" t="str">
        <f>IF(D28="Medium-High",'Linear Impact Assessment'!O37,"0.00")</f>
        <v>0.00</v>
      </c>
      <c r="G28" s="457" t="str">
        <f>IF(D28="Medium",'Linear Impact Assessment'!O37,"0.00")</f>
        <v>0.00</v>
      </c>
      <c r="H28" s="457" t="str">
        <f>IF(D28="Medium-Low",'Linear Impact Assessment'!O37,"0.00")</f>
        <v>0.00</v>
      </c>
      <c r="I28" s="458" t="str">
        <f>IF(D28="Low",'Linear Impact Assessment'!O37,"0.00")</f>
        <v>0.00</v>
      </c>
    </row>
    <row r="29" spans="1:9" ht="12.75">
      <c r="A29" s="7"/>
      <c r="B29" s="440">
        <f>'Linear Impact Assessment'!D38</f>
        <v>0</v>
      </c>
      <c r="C29" s="449">
        <f>'Linear Impact Assessment'!N38</f>
      </c>
      <c r="D29" s="450">
        <f>'Linear Impact Assessment'!F38</f>
      </c>
      <c r="E29" s="456" t="str">
        <f>IF(D29="High",'Linear Impact Assessment'!O38,"0.00")</f>
        <v>0.00</v>
      </c>
      <c r="F29" s="457" t="str">
        <f>IF(D29="Medium-High",'Linear Impact Assessment'!O38,"0.00")</f>
        <v>0.00</v>
      </c>
      <c r="G29" s="457" t="str">
        <f>IF(D29="Medium",'Linear Impact Assessment'!O38,"0.00")</f>
        <v>0.00</v>
      </c>
      <c r="H29" s="457" t="str">
        <f>IF(D29="Medium-Low",'Linear Impact Assessment'!O38,"0.00")</f>
        <v>0.00</v>
      </c>
      <c r="I29" s="458" t="str">
        <f>IF(D29="Low",'Linear Impact Assessment'!O38,"0.00")</f>
        <v>0.00</v>
      </c>
    </row>
    <row r="30" spans="1:9" ht="12.75">
      <c r="A30" s="7"/>
      <c r="B30" s="440">
        <f>'Linear Impact Assessment'!D39</f>
        <v>0</v>
      </c>
      <c r="C30" s="449">
        <f>'Linear Impact Assessment'!N39</f>
      </c>
      <c r="D30" s="450">
        <f>'Linear Impact Assessment'!F39</f>
      </c>
      <c r="E30" s="456" t="str">
        <f>IF(D30="High",'Linear Impact Assessment'!O39,"0.00")</f>
        <v>0.00</v>
      </c>
      <c r="F30" s="457" t="str">
        <f>IF(D30="Medium-High",'Linear Impact Assessment'!O39,"0.00")</f>
        <v>0.00</v>
      </c>
      <c r="G30" s="457" t="str">
        <f>IF(D30="Medium",'Linear Impact Assessment'!O39,"0.00")</f>
        <v>0.00</v>
      </c>
      <c r="H30" s="457" t="str">
        <f>IF(D30="Medium-Low",'Linear Impact Assessment'!O39,"0.00")</f>
        <v>0.00</v>
      </c>
      <c r="I30" s="458" t="str">
        <f>IF(D30="Low",'Linear Impact Assessment'!O39,"0.00")</f>
        <v>0.00</v>
      </c>
    </row>
    <row r="31" spans="1:9" ht="12.75">
      <c r="A31" s="7"/>
      <c r="B31" s="440">
        <f>'Linear Impact Assessment'!D40</f>
        <v>0</v>
      </c>
      <c r="C31" s="449">
        <f>'Linear Impact Assessment'!N40</f>
      </c>
      <c r="D31" s="450">
        <f>'Linear Impact Assessment'!F40</f>
      </c>
      <c r="E31" s="456" t="str">
        <f>IF(D31="High",'Linear Impact Assessment'!O40,"0.00")</f>
        <v>0.00</v>
      </c>
      <c r="F31" s="457" t="str">
        <f>IF(D31="Medium-High",'Linear Impact Assessment'!O40,"0.00")</f>
        <v>0.00</v>
      </c>
      <c r="G31" s="457" t="str">
        <f>IF(D31="Medium",'Linear Impact Assessment'!O40,"0.00")</f>
        <v>0.00</v>
      </c>
      <c r="H31" s="457" t="str">
        <f>IF(D31="Medium-Low",'Linear Impact Assessment'!O40,"0.00")</f>
        <v>0.00</v>
      </c>
      <c r="I31" s="458" t="str">
        <f>IF(D31="Low",'Linear Impact Assessment'!O40,"0.00")</f>
        <v>0.00</v>
      </c>
    </row>
    <row r="32" spans="1:9" ht="12.75">
      <c r="A32" s="7"/>
      <c r="B32" s="440">
        <f>'Linear Impact Assessment'!D41</f>
        <v>0</v>
      </c>
      <c r="C32" s="449">
        <f>'Linear Impact Assessment'!N41</f>
      </c>
      <c r="D32" s="450">
        <f>'Linear Impact Assessment'!F41</f>
      </c>
      <c r="E32" s="456" t="str">
        <f>IF(D32="High",'Linear Impact Assessment'!O41,"0.00")</f>
        <v>0.00</v>
      </c>
      <c r="F32" s="457" t="str">
        <f>IF(D32="Medium-High",'Linear Impact Assessment'!O41,"0.00")</f>
        <v>0.00</v>
      </c>
      <c r="G32" s="457" t="str">
        <f>IF(D32="Medium",'Linear Impact Assessment'!O41,"0.00")</f>
        <v>0.00</v>
      </c>
      <c r="H32" s="457" t="str">
        <f>IF(D32="Medium-Low",'Linear Impact Assessment'!O41,"0.00")</f>
        <v>0.00</v>
      </c>
      <c r="I32" s="458" t="str">
        <f>IF(D32="Low",'Linear Impact Assessment'!O41,"0.00")</f>
        <v>0.00</v>
      </c>
    </row>
    <row r="33" spans="1:9" ht="12.75">
      <c r="A33" s="7"/>
      <c r="B33" s="440">
        <f>'Linear Impact Assessment'!D42</f>
        <v>0</v>
      </c>
      <c r="C33" s="449">
        <f>'Linear Impact Assessment'!N42</f>
      </c>
      <c r="D33" s="450">
        <f>'Linear Impact Assessment'!F42</f>
      </c>
      <c r="E33" s="456" t="str">
        <f>IF(D33="High",'Linear Impact Assessment'!O42,"0.00")</f>
        <v>0.00</v>
      </c>
      <c r="F33" s="457" t="str">
        <f>IF(D33="Medium-High",'Linear Impact Assessment'!O42,"0.00")</f>
        <v>0.00</v>
      </c>
      <c r="G33" s="457" t="str">
        <f>IF(D33="Medium",'Linear Impact Assessment'!O42,"0.00")</f>
        <v>0.00</v>
      </c>
      <c r="H33" s="457" t="str">
        <f>IF(D33="Medium-Low",'Linear Impact Assessment'!O42,"0.00")</f>
        <v>0.00</v>
      </c>
      <c r="I33" s="458" t="str">
        <f>IF(D33="Low",'Linear Impact Assessment'!O42,"0.00")</f>
        <v>0.00</v>
      </c>
    </row>
    <row r="34" spans="1:9" ht="12.75">
      <c r="A34" s="7"/>
      <c r="B34" s="440">
        <f>'Linear Impact Assessment'!D43</f>
        <v>0</v>
      </c>
      <c r="C34" s="449">
        <f>'Linear Impact Assessment'!N43</f>
      </c>
      <c r="D34" s="450">
        <f>'Linear Impact Assessment'!F43</f>
      </c>
      <c r="E34" s="456" t="str">
        <f>IF(D34="High",'Linear Impact Assessment'!O43,"0.00")</f>
        <v>0.00</v>
      </c>
      <c r="F34" s="457" t="str">
        <f>IF(D34="Medium-High",'Linear Impact Assessment'!O43,"0.00")</f>
        <v>0.00</v>
      </c>
      <c r="G34" s="457" t="str">
        <f>IF(D34="Medium",'Linear Impact Assessment'!O43,"0.00")</f>
        <v>0.00</v>
      </c>
      <c r="H34" s="457" t="str">
        <f>IF(D34="Medium-Low",'Linear Impact Assessment'!O43,"0.00")</f>
        <v>0.00</v>
      </c>
      <c r="I34" s="458" t="str">
        <f>IF(D34="Low",'Linear Impact Assessment'!O43,"0.00")</f>
        <v>0.00</v>
      </c>
    </row>
    <row r="35" spans="1:9" ht="13.5" thickBot="1">
      <c r="A35" s="7"/>
      <c r="B35" s="442">
        <f>'Linear Impact Assessment'!D44</f>
        <v>0</v>
      </c>
      <c r="C35" s="451">
        <f>'Linear Impact Assessment'!N44</f>
      </c>
      <c r="D35" s="452">
        <f>'Linear Impact Assessment'!F44</f>
      </c>
      <c r="E35" s="617" t="str">
        <f>IF(D35="High",'Linear Impact Assessment'!O44,"0.00")</f>
        <v>0.00</v>
      </c>
      <c r="F35" s="459" t="str">
        <f>IF(D35="Medium-High",'Linear Impact Assessment'!O44,"0.00")</f>
        <v>0.00</v>
      </c>
      <c r="G35" s="459" t="str">
        <f>IF(D35="Medium",'Linear Impact Assessment'!O44,"0.00")</f>
        <v>0.00</v>
      </c>
      <c r="H35" s="459" t="str">
        <f>IF(D35="Medium-Low",'Linear Impact Assessment'!O44,"0.00")</f>
        <v>0.00</v>
      </c>
      <c r="I35" s="460" t="str">
        <f>IF(D35="Low",'Linear Impact Assessment'!O44,"0.00")</f>
        <v>0.00</v>
      </c>
    </row>
    <row r="36" spans="1:9" ht="13.5" thickBot="1">
      <c r="A36" s="7"/>
      <c r="B36" s="392" t="s">
        <v>296</v>
      </c>
      <c r="C36" s="393"/>
      <c r="D36" s="394"/>
      <c r="E36" s="621"/>
      <c r="F36" s="622"/>
      <c r="G36" s="622"/>
      <c r="H36" s="623"/>
      <c r="I36" s="624"/>
    </row>
    <row r="37" spans="1:9" ht="12.75">
      <c r="A37" s="7"/>
      <c r="B37" s="441">
        <f>'Linear Impact Assessment'!D50</f>
        <v>0</v>
      </c>
      <c r="C37" s="445">
        <f>'Linear Impact Assessment'!E50</f>
        <v>0</v>
      </c>
      <c r="D37" s="618">
        <f>'Linear Impact Assessment'!F50</f>
      </c>
      <c r="E37" s="453" t="str">
        <f>IF(D37="High",'Linear Impact Assessment'!K50,"0.00")</f>
        <v>0.00</v>
      </c>
      <c r="F37" s="454" t="str">
        <f>IF(D37="Medium-High",'Linear Impact Assessment'!K50,"0.00")</f>
        <v>0.00</v>
      </c>
      <c r="G37" s="454" t="str">
        <f>IF(D37="Medium",'Linear Impact Assessment'!K50,"0.00")</f>
        <v>0.00</v>
      </c>
      <c r="H37" s="454" t="str">
        <f>IF(D37="Medium-Low",'Linear Impact Assessment'!K50,"0.00")</f>
        <v>0.00</v>
      </c>
      <c r="I37" s="455" t="str">
        <f>IF(D37="Low",'Linear Impact Assessment'!K50,"0.00")</f>
        <v>0.00</v>
      </c>
    </row>
    <row r="38" spans="1:9" ht="12.75">
      <c r="A38" s="7"/>
      <c r="B38" s="440">
        <f>'Linear Impact Assessment'!D52</f>
        <v>0</v>
      </c>
      <c r="C38" s="444">
        <f>'Linear Impact Assessment'!E52</f>
        <v>0</v>
      </c>
      <c r="D38" s="619">
        <f>'Linear Impact Assessment'!F52</f>
      </c>
      <c r="E38" s="456" t="str">
        <f>IF(D38="High",'Linear Impact Assessment'!K52,"0.00")</f>
        <v>0.00</v>
      </c>
      <c r="F38" s="457" t="str">
        <f>IF(D38="Medium-High",'Linear Impact Assessment'!K52,"0.00")</f>
        <v>0.00</v>
      </c>
      <c r="G38" s="457" t="str">
        <f>IF(D38="Medium",'Linear Impact Assessment'!K52,"0.00")</f>
        <v>0.00</v>
      </c>
      <c r="H38" s="457" t="str">
        <f>IF(D38="Medium-Low",'Linear Impact Assessment'!K52,"0.00")</f>
        <v>0.00</v>
      </c>
      <c r="I38" s="458" t="str">
        <f>IF(D38="Low",'Linear Impact Assessment'!K52,"0.00")</f>
        <v>0.00</v>
      </c>
    </row>
    <row r="39" spans="1:9" ht="12.75">
      <c r="A39" s="7"/>
      <c r="B39" s="440">
        <f>'Linear Impact Assessment'!D54</f>
        <v>0</v>
      </c>
      <c r="C39" s="444">
        <f>'Linear Impact Assessment'!E54</f>
        <v>0</v>
      </c>
      <c r="D39" s="619">
        <f>'Linear Impact Assessment'!F54</f>
      </c>
      <c r="E39" s="456" t="str">
        <f>IF(D39="High",'Linear Impact Assessment'!K54,"0.00")</f>
        <v>0.00</v>
      </c>
      <c r="F39" s="457" t="str">
        <f>IF(D39="Medium-High",'Linear Impact Assessment'!K54,"0.00")</f>
        <v>0.00</v>
      </c>
      <c r="G39" s="457" t="str">
        <f>IF(D39="Medium",'Linear Impact Assessment'!K54,"0.00")</f>
        <v>0.00</v>
      </c>
      <c r="H39" s="457" t="str">
        <f>IF(D39="Medium-Low",'Linear Impact Assessment'!K54,"0.00")</f>
        <v>0.00</v>
      </c>
      <c r="I39" s="458" t="str">
        <f>IF(D39="Low",'Linear Impact Assessment'!K54,"0.00")</f>
        <v>0.00</v>
      </c>
    </row>
    <row r="40" spans="1:9" ht="12.75">
      <c r="A40" s="7"/>
      <c r="B40" s="440">
        <f>'Linear Impact Assessment'!D56</f>
        <v>0</v>
      </c>
      <c r="C40" s="444">
        <f>'Linear Impact Assessment'!E56</f>
        <v>0</v>
      </c>
      <c r="D40" s="619">
        <f>'Linear Impact Assessment'!F56</f>
      </c>
      <c r="E40" s="456" t="str">
        <f>IF(D40="High",'Linear Impact Assessment'!K56,"0.00")</f>
        <v>0.00</v>
      </c>
      <c r="F40" s="457" t="str">
        <f>IF(D40="Medium-High",'Linear Impact Assessment'!K56,"0.00")</f>
        <v>0.00</v>
      </c>
      <c r="G40" s="457" t="str">
        <f>IF(D40="Medium",'Linear Impact Assessment'!K56,"0.00")</f>
        <v>0.00</v>
      </c>
      <c r="H40" s="457" t="str">
        <f>IF(D40="Medium-Low",'Linear Impact Assessment'!K56,"0.00")</f>
        <v>0.00</v>
      </c>
      <c r="I40" s="458" t="str">
        <f>IF(D40="Low",'Linear Impact Assessment'!K56,"0.00")</f>
        <v>0.00</v>
      </c>
    </row>
    <row r="41" spans="1:9" ht="13.5" thickBot="1">
      <c r="A41" s="7"/>
      <c r="B41" s="443">
        <f>'Linear Impact Assessment'!D58</f>
        <v>0</v>
      </c>
      <c r="C41" s="446">
        <f>'Linear Impact Assessment'!E58</f>
        <v>0</v>
      </c>
      <c r="D41" s="620">
        <f>'Linear Impact Assessment'!F58</f>
      </c>
      <c r="E41" s="617" t="str">
        <f>IF(D41="High",'Linear Impact Assessment'!K58,"0.00")</f>
        <v>0.00</v>
      </c>
      <c r="F41" s="459" t="str">
        <f>IF(D41="Medium-High",'Linear Impact Assessment'!K58,"0.00")</f>
        <v>0.00</v>
      </c>
      <c r="G41" s="459" t="str">
        <f>IF(D41="Medium",'Linear Impact Assessment'!K58,"0.00")</f>
        <v>0.00</v>
      </c>
      <c r="H41" s="459" t="str">
        <f>IF(D41="Medium-Low",'Linear Impact Assessment'!K58,"0.00")</f>
        <v>0.00</v>
      </c>
      <c r="I41" s="460" t="str">
        <f>IF(D41="Low",'Linear Impact Assessment'!K58,"0.00")</f>
        <v>0.00</v>
      </c>
    </row>
    <row r="42" spans="1:10" ht="13.5" thickBot="1">
      <c r="A42" s="7"/>
      <c r="B42" s="20" t="s">
        <v>219</v>
      </c>
      <c r="C42" s="21">
        <f>SUM(C6:C41)</f>
        <v>0.25</v>
      </c>
      <c r="D42" s="26"/>
      <c r="E42" s="423">
        <f>SUM(E6:E41)</f>
        <v>0.5399999999999998</v>
      </c>
      <c r="F42" s="424">
        <f>SUM(F6:F41)</f>
        <v>0</v>
      </c>
      <c r="G42" s="424">
        <f>SUM(G6:G41)</f>
        <v>1.2800000000000002</v>
      </c>
      <c r="H42" s="424">
        <f>SUM(H6:H41)</f>
        <v>0</v>
      </c>
      <c r="I42" s="425">
        <f>SUM(I6:I41)</f>
        <v>0</v>
      </c>
      <c r="J42" s="3"/>
    </row>
    <row r="43" spans="1:10" ht="12.75">
      <c r="A43" s="7"/>
      <c r="B43" s="7"/>
      <c r="C43" s="7"/>
      <c r="D43" s="7"/>
      <c r="E43" s="13"/>
      <c r="F43" s="7"/>
      <c r="G43" s="7"/>
      <c r="H43" s="7"/>
      <c r="I43" s="7"/>
      <c r="J43" s="13"/>
    </row>
    <row r="44" spans="1:9" ht="13.5" thickBot="1">
      <c r="A44" s="7"/>
      <c r="B44" s="11" t="s">
        <v>220</v>
      </c>
      <c r="C44" s="7"/>
      <c r="D44" s="7"/>
      <c r="E44" s="7"/>
      <c r="F44" s="7"/>
      <c r="G44" s="7"/>
      <c r="H44" s="7"/>
      <c r="I44" s="7"/>
    </row>
    <row r="45" spans="1:9" ht="53.25" thickBot="1">
      <c r="A45" s="7"/>
      <c r="B45" s="22" t="s">
        <v>322</v>
      </c>
      <c r="C45" s="16" t="s">
        <v>309</v>
      </c>
      <c r="D45" s="27" t="s">
        <v>0</v>
      </c>
      <c r="E45" s="29" t="s">
        <v>267</v>
      </c>
      <c r="F45" s="30" t="s">
        <v>312</v>
      </c>
      <c r="G45" s="30" t="s">
        <v>268</v>
      </c>
      <c r="H45" s="30" t="s">
        <v>313</v>
      </c>
      <c r="I45" s="31" t="s">
        <v>269</v>
      </c>
    </row>
    <row r="46" spans="1:9" ht="12.75">
      <c r="A46" s="7"/>
      <c r="B46" s="441" t="str">
        <f>'Linear Impact Assessment'!D67</f>
        <v>Hedges: Native species rich intact hedge</v>
      </c>
      <c r="C46" s="447">
        <f>'Linear Impact Assessment'!E67</f>
        <v>0.37</v>
      </c>
      <c r="D46" s="448" t="str">
        <f>'Linear Impact Assessment'!F67</f>
        <v>High</v>
      </c>
      <c r="E46" s="461">
        <f>IF(D46="High",'Linear Impact Assessment'!$O67,"0.00")</f>
        <v>4.757142857142857</v>
      </c>
      <c r="F46" s="462" t="str">
        <f>IF(D46="Medium-High",'Linear Impact Assessment'!$O67,"0.00")</f>
        <v>0.00</v>
      </c>
      <c r="G46" s="462" t="str">
        <f>IF(D46="Medium",'Linear Impact Assessment'!$O67,"0.00")</f>
        <v>0.00</v>
      </c>
      <c r="H46" s="462" t="str">
        <f>IF(D46="Medium-Low",'Linear Impact Assessment'!$O67,"0.00")</f>
        <v>0.00</v>
      </c>
      <c r="I46" s="463" t="str">
        <f>IF(D46="Low",'Linear Impact Assessment'!$O67,"0.00")</f>
        <v>0.00</v>
      </c>
    </row>
    <row r="47" spans="1:9" ht="12.75">
      <c r="A47" s="7"/>
      <c r="B47" s="440">
        <f>'Linear Impact Assessment'!D68</f>
        <v>0</v>
      </c>
      <c r="C47" s="449">
        <f>'Linear Impact Assessment'!E68</f>
        <v>0</v>
      </c>
      <c r="D47" s="450">
        <f>'Linear Impact Assessment'!F68</f>
      </c>
      <c r="E47" s="461" t="str">
        <f>IF(D47="High",'Linear Impact Assessment'!$O68,"0.00")</f>
        <v>0.00</v>
      </c>
      <c r="F47" s="462" t="str">
        <f>IF(D47="Medium-High",'Linear Impact Assessment'!$O68,"0.00")</f>
        <v>0.00</v>
      </c>
      <c r="G47" s="462" t="str">
        <f>IF(D47="Medium",'Linear Impact Assessment'!$O68,"0.00")</f>
        <v>0.00</v>
      </c>
      <c r="H47" s="462" t="str">
        <f>IF(D47="Medium-Low",'Linear Impact Assessment'!$O68,"0.00")</f>
        <v>0.00</v>
      </c>
      <c r="I47" s="463" t="str">
        <f>IF(D47="Low",'Linear Impact Assessment'!$O68,"0.00")</f>
        <v>0.00</v>
      </c>
    </row>
    <row r="48" spans="1:9" ht="12.75">
      <c r="A48" s="7"/>
      <c r="B48" s="440">
        <f>'Linear Impact Assessment'!D69</f>
        <v>0</v>
      </c>
      <c r="C48" s="449">
        <f>'Linear Impact Assessment'!E69</f>
        <v>0</v>
      </c>
      <c r="D48" s="450">
        <f>'Linear Impact Assessment'!F69</f>
      </c>
      <c r="E48" s="461" t="str">
        <f>IF(D48="High",'Linear Impact Assessment'!$O69,"0.00")</f>
        <v>0.00</v>
      </c>
      <c r="F48" s="462" t="str">
        <f>IF(D48="Medium-High",'Linear Impact Assessment'!$O69,"0.00")</f>
        <v>0.00</v>
      </c>
      <c r="G48" s="462" t="str">
        <f>IF(D48="Medium",'Linear Impact Assessment'!$O69,"0.00")</f>
        <v>0.00</v>
      </c>
      <c r="H48" s="462" t="str">
        <f>IF(D48="Medium-Low",'Linear Impact Assessment'!$O69,"0.00")</f>
        <v>0.00</v>
      </c>
      <c r="I48" s="463" t="str">
        <f>IF(D48="Low",'Linear Impact Assessment'!$O69,"0.00")</f>
        <v>0.00</v>
      </c>
    </row>
    <row r="49" spans="1:9" ht="12.75">
      <c r="A49" s="7"/>
      <c r="B49" s="440">
        <f>'Linear Impact Assessment'!D70</f>
        <v>0</v>
      </c>
      <c r="C49" s="449">
        <f>'Linear Impact Assessment'!E70</f>
        <v>0</v>
      </c>
      <c r="D49" s="450">
        <f>'Linear Impact Assessment'!F70</f>
      </c>
      <c r="E49" s="461" t="str">
        <f>IF(D49="High",'Linear Impact Assessment'!$O70,"0.00")</f>
        <v>0.00</v>
      </c>
      <c r="F49" s="462" t="str">
        <f>IF(D49="Medium-High",'Linear Impact Assessment'!$O70,"0.00")</f>
        <v>0.00</v>
      </c>
      <c r="G49" s="462" t="str">
        <f>IF(D49="Medium",'Linear Impact Assessment'!$O70,"0.00")</f>
        <v>0.00</v>
      </c>
      <c r="H49" s="462" t="str">
        <f>IF(D49="Medium-Low",'Linear Impact Assessment'!$O70,"0.00")</f>
        <v>0.00</v>
      </c>
      <c r="I49" s="463" t="str">
        <f>IF(D49="Low",'Linear Impact Assessment'!$O70,"0.00")</f>
        <v>0.00</v>
      </c>
    </row>
    <row r="50" spans="1:9" ht="12.75">
      <c r="A50" s="7"/>
      <c r="B50" s="440">
        <f>'Linear Impact Assessment'!D71</f>
        <v>0</v>
      </c>
      <c r="C50" s="449">
        <f>'Linear Impact Assessment'!E71</f>
        <v>0</v>
      </c>
      <c r="D50" s="450">
        <f>'Linear Impact Assessment'!F71</f>
      </c>
      <c r="E50" s="461" t="str">
        <f>IF(D50="High",'Linear Impact Assessment'!$O71,"0.00")</f>
        <v>0.00</v>
      </c>
      <c r="F50" s="462" t="str">
        <f>IF(D50="Medium-High",'Linear Impact Assessment'!$O71,"0.00")</f>
        <v>0.00</v>
      </c>
      <c r="G50" s="462" t="str">
        <f>IF(D50="Medium",'Linear Impact Assessment'!$O71,"0.00")</f>
        <v>0.00</v>
      </c>
      <c r="H50" s="462" t="str">
        <f>IF(D50="Medium-Low",'Linear Impact Assessment'!$O71,"0.00")</f>
        <v>0.00</v>
      </c>
      <c r="I50" s="463" t="str">
        <f>IF(D50="Low",'Linear Impact Assessment'!$O71,"0.00")</f>
        <v>0.00</v>
      </c>
    </row>
    <row r="51" spans="1:9" ht="12.75">
      <c r="A51" s="7"/>
      <c r="B51" s="440">
        <f>'Linear Impact Assessment'!D72</f>
        <v>0</v>
      </c>
      <c r="C51" s="449">
        <f>'Linear Impact Assessment'!E72</f>
        <v>0</v>
      </c>
      <c r="D51" s="450">
        <f>'Linear Impact Assessment'!F72</f>
      </c>
      <c r="E51" s="461" t="str">
        <f>IF(D51="High",'Linear Impact Assessment'!$O72,"0.00")</f>
        <v>0.00</v>
      </c>
      <c r="F51" s="462" t="str">
        <f>IF(D51="Medium-High",'Linear Impact Assessment'!$O72,"0.00")</f>
        <v>0.00</v>
      </c>
      <c r="G51" s="462" t="str">
        <f>IF(D51="Medium",'Linear Impact Assessment'!$O72,"0.00")</f>
        <v>0.00</v>
      </c>
      <c r="H51" s="462" t="str">
        <f>IF(D51="Medium-Low",'Linear Impact Assessment'!$O72,"0.00")</f>
        <v>0.00</v>
      </c>
      <c r="I51" s="463" t="str">
        <f>IF(D51="Low",'Linear Impact Assessment'!$O72,"0.00")</f>
        <v>0.00</v>
      </c>
    </row>
    <row r="52" spans="1:9" ht="12.75">
      <c r="A52" s="7"/>
      <c r="B52" s="440">
        <f>'Linear Impact Assessment'!D73</f>
        <v>0</v>
      </c>
      <c r="C52" s="449">
        <f>'Linear Impact Assessment'!E73</f>
        <v>0</v>
      </c>
      <c r="D52" s="450">
        <f>'Linear Impact Assessment'!F73</f>
      </c>
      <c r="E52" s="461" t="str">
        <f>IF(D52="High",'Linear Impact Assessment'!$O73,"0.00")</f>
        <v>0.00</v>
      </c>
      <c r="F52" s="462" t="str">
        <f>IF(D52="Medium-High",'Linear Impact Assessment'!$O73,"0.00")</f>
        <v>0.00</v>
      </c>
      <c r="G52" s="462" t="str">
        <f>IF(D52="Medium",'Linear Impact Assessment'!$O73,"0.00")</f>
        <v>0.00</v>
      </c>
      <c r="H52" s="462" t="str">
        <f>IF(D52="Medium-Low",'Linear Impact Assessment'!$O73,"0.00")</f>
        <v>0.00</v>
      </c>
      <c r="I52" s="463" t="str">
        <f>IF(D52="Low",'Linear Impact Assessment'!$O73,"0.00")</f>
        <v>0.00</v>
      </c>
    </row>
    <row r="53" spans="1:9" ht="12.75">
      <c r="A53" s="7"/>
      <c r="B53" s="440">
        <f>'Linear Impact Assessment'!D74</f>
        <v>0</v>
      </c>
      <c r="C53" s="449">
        <f>'Linear Impact Assessment'!E74</f>
        <v>0</v>
      </c>
      <c r="D53" s="450">
        <f>'Linear Impact Assessment'!F74</f>
      </c>
      <c r="E53" s="461" t="str">
        <f>IF(D53="High",'Linear Impact Assessment'!$O74,"0.00")</f>
        <v>0.00</v>
      </c>
      <c r="F53" s="462" t="str">
        <f>IF(D53="Medium-High",'Linear Impact Assessment'!$O74,"0.00")</f>
        <v>0.00</v>
      </c>
      <c r="G53" s="462" t="str">
        <f>IF(D53="Medium",'Linear Impact Assessment'!$O74,"0.00")</f>
        <v>0.00</v>
      </c>
      <c r="H53" s="462" t="str">
        <f>IF(D53="Medium-Low",'Linear Impact Assessment'!$O74,"0.00")</f>
        <v>0.00</v>
      </c>
      <c r="I53" s="463" t="str">
        <f>IF(D53="Low",'Linear Impact Assessment'!$O74,"0.00")</f>
        <v>0.00</v>
      </c>
    </row>
    <row r="54" spans="1:9" ht="12.75">
      <c r="A54" s="7"/>
      <c r="B54" s="440">
        <f>'Linear Impact Assessment'!D75</f>
        <v>0</v>
      </c>
      <c r="C54" s="449">
        <f>'Linear Impact Assessment'!E75</f>
        <v>0</v>
      </c>
      <c r="D54" s="450">
        <f>'Linear Impact Assessment'!F75</f>
      </c>
      <c r="E54" s="461" t="str">
        <f>IF(D54="High",'Linear Impact Assessment'!$O75,"0.00")</f>
        <v>0.00</v>
      </c>
      <c r="F54" s="462" t="str">
        <f>IF(D54="Medium-High",'Linear Impact Assessment'!$O75,"0.00")</f>
        <v>0.00</v>
      </c>
      <c r="G54" s="462" t="str">
        <f>IF(D54="Medium",'Linear Impact Assessment'!$O75,"0.00")</f>
        <v>0.00</v>
      </c>
      <c r="H54" s="462" t="str">
        <f>IF(D54="Medium-Low",'Linear Impact Assessment'!$O75,"0.00")</f>
        <v>0.00</v>
      </c>
      <c r="I54" s="463" t="str">
        <f>IF(D54="Low",'Linear Impact Assessment'!$O75,"0.00")</f>
        <v>0.00</v>
      </c>
    </row>
    <row r="55" spans="1:9" ht="12.75">
      <c r="A55" s="7"/>
      <c r="B55" s="440">
        <f>'Linear Impact Assessment'!D76</f>
        <v>0</v>
      </c>
      <c r="C55" s="449">
        <f>'Linear Impact Assessment'!E76</f>
        <v>0</v>
      </c>
      <c r="D55" s="450">
        <f>'Linear Impact Assessment'!F76</f>
      </c>
      <c r="E55" s="461" t="str">
        <f>IF(D55="High",'Linear Impact Assessment'!$O76,"0.00")</f>
        <v>0.00</v>
      </c>
      <c r="F55" s="462" t="str">
        <f>IF(D55="Medium-High",'Linear Impact Assessment'!$O76,"0.00")</f>
        <v>0.00</v>
      </c>
      <c r="G55" s="462" t="str">
        <f>IF(D55="Medium",'Linear Impact Assessment'!$O76,"0.00")</f>
        <v>0.00</v>
      </c>
      <c r="H55" s="462" t="str">
        <f>IF(D55="Medium-Low",'Linear Impact Assessment'!$O76,"0.00")</f>
        <v>0.00</v>
      </c>
      <c r="I55" s="463" t="str">
        <f>IF(D55="Low",'Linear Impact Assessment'!$O76,"0.00")</f>
        <v>0.00</v>
      </c>
    </row>
    <row r="56" spans="1:9" ht="12.75">
      <c r="A56" s="7"/>
      <c r="B56" s="440">
        <f>'Linear Impact Assessment'!D77</f>
        <v>0</v>
      </c>
      <c r="C56" s="449">
        <f>'Linear Impact Assessment'!E77</f>
        <v>0</v>
      </c>
      <c r="D56" s="450">
        <f>'Linear Impact Assessment'!F77</f>
      </c>
      <c r="E56" s="461" t="str">
        <f>IF(D56="High",'Linear Impact Assessment'!$O77,"0.00")</f>
        <v>0.00</v>
      </c>
      <c r="F56" s="462" t="str">
        <f>IF(D56="Medium-High",'Linear Impact Assessment'!$O77,"0.00")</f>
        <v>0.00</v>
      </c>
      <c r="G56" s="462" t="str">
        <f>IF(D56="Medium",'Linear Impact Assessment'!$O77,"0.00")</f>
        <v>0.00</v>
      </c>
      <c r="H56" s="462" t="str">
        <f>IF(D56="Medium-Low",'Linear Impact Assessment'!$O77,"0.00")</f>
        <v>0.00</v>
      </c>
      <c r="I56" s="463" t="str">
        <f>IF(D56="Low",'Linear Impact Assessment'!$O77,"0.00")</f>
        <v>0.00</v>
      </c>
    </row>
    <row r="57" spans="1:9" ht="12.75">
      <c r="A57" s="7"/>
      <c r="B57" s="440">
        <f>'Linear Impact Assessment'!D78</f>
        <v>0</v>
      </c>
      <c r="C57" s="449">
        <f>'Linear Impact Assessment'!E78</f>
        <v>0</v>
      </c>
      <c r="D57" s="450">
        <f>'Linear Impact Assessment'!F78</f>
      </c>
      <c r="E57" s="461" t="str">
        <f>IF(D57="High",'Linear Impact Assessment'!$O78,"0.00")</f>
        <v>0.00</v>
      </c>
      <c r="F57" s="462" t="str">
        <f>IF(D57="Medium-High",'Linear Impact Assessment'!$O78,"0.00")</f>
        <v>0.00</v>
      </c>
      <c r="G57" s="462" t="str">
        <f>IF(D57="Medium",'Linear Impact Assessment'!$O78,"0.00")</f>
        <v>0.00</v>
      </c>
      <c r="H57" s="462" t="str">
        <f>IF(D57="Medium-Low",'Linear Impact Assessment'!$O78,"0.00")</f>
        <v>0.00</v>
      </c>
      <c r="I57" s="463" t="str">
        <f>IF(D57="Low",'Linear Impact Assessment'!$O78,"0.00")</f>
        <v>0.00</v>
      </c>
    </row>
    <row r="58" spans="1:9" ht="12.75">
      <c r="A58" s="7"/>
      <c r="B58" s="440">
        <f>'Linear Impact Assessment'!D79</f>
        <v>0</v>
      </c>
      <c r="C58" s="449">
        <f>'Linear Impact Assessment'!E79</f>
        <v>0</v>
      </c>
      <c r="D58" s="450">
        <f>'Linear Impact Assessment'!F79</f>
      </c>
      <c r="E58" s="461" t="str">
        <f>IF(D58="High",'Linear Impact Assessment'!$O79,"0.00")</f>
        <v>0.00</v>
      </c>
      <c r="F58" s="462" t="str">
        <f>IF(D58="Medium-High",'Linear Impact Assessment'!$O79,"0.00")</f>
        <v>0.00</v>
      </c>
      <c r="G58" s="462" t="str">
        <f>IF(D58="Medium",'Linear Impact Assessment'!$O79,"0.00")</f>
        <v>0.00</v>
      </c>
      <c r="H58" s="462" t="str">
        <f>IF(D58="Medium-Low",'Linear Impact Assessment'!$O79,"0.00")</f>
        <v>0.00</v>
      </c>
      <c r="I58" s="463" t="str">
        <f>IF(D58="Low",'Linear Impact Assessment'!$O79,"0.00")</f>
        <v>0.00</v>
      </c>
    </row>
    <row r="59" spans="1:9" ht="12.75">
      <c r="A59" s="7"/>
      <c r="B59" s="440">
        <f>'Linear Impact Assessment'!D80</f>
        <v>0</v>
      </c>
      <c r="C59" s="449">
        <f>'Linear Impact Assessment'!E80</f>
        <v>0</v>
      </c>
      <c r="D59" s="450">
        <f>'Linear Impact Assessment'!F80</f>
      </c>
      <c r="E59" s="461" t="str">
        <f>IF(D59="High",'Linear Impact Assessment'!$O80,"0.00")</f>
        <v>0.00</v>
      </c>
      <c r="F59" s="462" t="str">
        <f>IF(D59="Medium-High",'Linear Impact Assessment'!$O80,"0.00")</f>
        <v>0.00</v>
      </c>
      <c r="G59" s="462" t="str">
        <f>IF(D59="Medium",'Linear Impact Assessment'!$O80,"0.00")</f>
        <v>0.00</v>
      </c>
      <c r="H59" s="462" t="str">
        <f>IF(D59="Medium-Low",'Linear Impact Assessment'!$O80,"0.00")</f>
        <v>0.00</v>
      </c>
      <c r="I59" s="463" t="str">
        <f>IF(D59="Low",'Linear Impact Assessment'!$O80,"0.00")</f>
        <v>0.00</v>
      </c>
    </row>
    <row r="60" spans="1:9" ht="13.5" thickBot="1">
      <c r="A60" s="7"/>
      <c r="B60" s="443">
        <f>'Linear Impact Assessment'!D81</f>
        <v>0</v>
      </c>
      <c r="C60" s="473">
        <f>'Linear Impact Assessment'!E81</f>
        <v>0</v>
      </c>
      <c r="D60" s="474">
        <f>'Linear Impact Assessment'!F81</f>
      </c>
      <c r="E60" s="461" t="str">
        <f>IF(D60="High",'Linear Impact Assessment'!$O81,"0.00")</f>
        <v>0.00</v>
      </c>
      <c r="F60" s="462" t="str">
        <f>IF(D60="Medium-High",'Linear Impact Assessment'!$O81,"0.00")</f>
        <v>0.00</v>
      </c>
      <c r="G60" s="462" t="str">
        <f>IF(D60="Medium",'Linear Impact Assessment'!$O81,"0.00")</f>
        <v>0.00</v>
      </c>
      <c r="H60" s="462" t="str">
        <f>IF(D60="Medium-Low",'Linear Impact Assessment'!$O81,"0.00")</f>
        <v>0.00</v>
      </c>
      <c r="I60" s="463" t="str">
        <f>IF(D60="Low",'Linear Impact Assessment'!$O81,"0.00")</f>
        <v>0.00</v>
      </c>
    </row>
    <row r="61" spans="1:9" ht="13.5" thickBot="1">
      <c r="A61" s="7"/>
      <c r="B61" s="23" t="s">
        <v>323</v>
      </c>
      <c r="C61" s="47" t="s">
        <v>282</v>
      </c>
      <c r="D61" s="28" t="s">
        <v>0</v>
      </c>
      <c r="E61" s="625" t="s">
        <v>52</v>
      </c>
      <c r="F61" s="626" t="s">
        <v>307</v>
      </c>
      <c r="G61" s="626" t="s">
        <v>76</v>
      </c>
      <c r="H61" s="627" t="s">
        <v>306</v>
      </c>
      <c r="I61" s="628" t="s">
        <v>54</v>
      </c>
    </row>
    <row r="62" spans="1:9" ht="12.75">
      <c r="A62" s="7"/>
      <c r="B62" s="441" t="str">
        <f>'Linear Impact Assessment'!D84</f>
        <v>Hedges: Intact hedge</v>
      </c>
      <c r="C62" s="447">
        <f>'Linear Impact Assessment'!E84</f>
        <v>0.77</v>
      </c>
      <c r="D62" s="448" t="str">
        <f>'Linear Impact Assessment'!F84</f>
        <v>Medium</v>
      </c>
      <c r="E62" s="470" t="str">
        <f>IF(D62="High",'Linear Impact Assessment'!$O84,"0.00")</f>
        <v>0.00</v>
      </c>
      <c r="F62" s="471" t="str">
        <f>IF(D62="Medium-High",'Linear Impact Assessment'!$O84,"0.00")</f>
        <v>0.00</v>
      </c>
      <c r="G62" s="471">
        <f>IF(D62="Medium",'Linear Impact Assessment'!$O84,"0.00")</f>
        <v>2.2</v>
      </c>
      <c r="H62" s="471" t="str">
        <f>IF(D62="Medium-Low",'Linear Impact Assessment'!$O84,"0.00")</f>
        <v>0.00</v>
      </c>
      <c r="I62" s="472" t="str">
        <f>IF(D62="Low",'Linear Impact Assessment'!$O84,"0.00")</f>
        <v>0.00</v>
      </c>
    </row>
    <row r="63" spans="1:9" ht="12.75">
      <c r="A63" s="7"/>
      <c r="B63" s="440">
        <f>'Linear Impact Assessment'!D85</f>
        <v>0</v>
      </c>
      <c r="C63" s="449">
        <f>'Linear Impact Assessment'!E85</f>
        <v>0</v>
      </c>
      <c r="D63" s="450">
        <f>'Linear Impact Assessment'!F85</f>
      </c>
      <c r="E63" s="464" t="str">
        <f>IF(D63="High",'Linear Impact Assessment'!$O85,"0.00")</f>
        <v>0.00</v>
      </c>
      <c r="F63" s="465" t="str">
        <f>IF(D63="Medium-High",'Linear Impact Assessment'!$O85,"0.00")</f>
        <v>0.00</v>
      </c>
      <c r="G63" s="465" t="str">
        <f>IF(D63="Medium",'Linear Impact Assessment'!$O85,"0.00")</f>
        <v>0.00</v>
      </c>
      <c r="H63" s="465" t="str">
        <f>IF(D63="Medium-Low",'Linear Impact Assessment'!$O85,"0.00")</f>
        <v>0.00</v>
      </c>
      <c r="I63" s="466" t="str">
        <f>IF(D63="Low",'Linear Impact Assessment'!$O85,"0.00")</f>
        <v>0.00</v>
      </c>
    </row>
    <row r="64" spans="1:9" ht="12.75">
      <c r="A64" s="7"/>
      <c r="B64" s="440">
        <f>'Linear Impact Assessment'!D86</f>
        <v>0</v>
      </c>
      <c r="C64" s="449">
        <f>'Linear Impact Assessment'!E86</f>
        <v>0</v>
      </c>
      <c r="D64" s="450">
        <f>'Linear Impact Assessment'!F86</f>
      </c>
      <c r="E64" s="464" t="str">
        <f>IF(D64="High",'Linear Impact Assessment'!$O86,"0.00")</f>
        <v>0.00</v>
      </c>
      <c r="F64" s="465" t="str">
        <f>IF(D64="Medium-High",'Linear Impact Assessment'!$O86,"0.00")</f>
        <v>0.00</v>
      </c>
      <c r="G64" s="465" t="str">
        <f>IF(D64="Medium",'Linear Impact Assessment'!$O86,"0.00")</f>
        <v>0.00</v>
      </c>
      <c r="H64" s="465" t="str">
        <f>IF(D64="Medium-Low",'Linear Impact Assessment'!$O86,"0.00")</f>
        <v>0.00</v>
      </c>
      <c r="I64" s="466" t="str">
        <f>IF(D64="Low",'Linear Impact Assessment'!$O86,"0.00")</f>
        <v>0.00</v>
      </c>
    </row>
    <row r="65" spans="1:9" ht="12.75">
      <c r="A65" s="7"/>
      <c r="B65" s="440">
        <f>'Linear Impact Assessment'!D87</f>
        <v>0</v>
      </c>
      <c r="C65" s="449">
        <f>'Linear Impact Assessment'!E87</f>
        <v>0</v>
      </c>
      <c r="D65" s="450">
        <f>'Linear Impact Assessment'!F87</f>
      </c>
      <c r="E65" s="464" t="str">
        <f>IF(D65="High",'Linear Impact Assessment'!$O87,"0.00")</f>
        <v>0.00</v>
      </c>
      <c r="F65" s="465" t="str">
        <f>IF(D65="Medium-High",'Linear Impact Assessment'!$O87,"0.00")</f>
        <v>0.00</v>
      </c>
      <c r="G65" s="465" t="str">
        <f>IF(D65="Medium",'Linear Impact Assessment'!$O87,"0.00")</f>
        <v>0.00</v>
      </c>
      <c r="H65" s="465" t="str">
        <f>IF(D65="Medium-Low",'Linear Impact Assessment'!$O87,"0.00")</f>
        <v>0.00</v>
      </c>
      <c r="I65" s="466" t="str">
        <f>IF(D65="Low",'Linear Impact Assessment'!$O87,"0.00")</f>
        <v>0.00</v>
      </c>
    </row>
    <row r="66" spans="1:9" ht="12.75">
      <c r="A66" s="7"/>
      <c r="B66" s="440">
        <f>'Linear Impact Assessment'!D88</f>
        <v>0</v>
      </c>
      <c r="C66" s="449">
        <f>'Linear Impact Assessment'!E88</f>
        <v>0</v>
      </c>
      <c r="D66" s="450">
        <f>'Linear Impact Assessment'!F88</f>
      </c>
      <c r="E66" s="464" t="str">
        <f>IF(D66="High",'Linear Impact Assessment'!$O88,"0.00")</f>
        <v>0.00</v>
      </c>
      <c r="F66" s="465" t="str">
        <f>IF(D66="Medium-High",'Linear Impact Assessment'!$O88,"0.00")</f>
        <v>0.00</v>
      </c>
      <c r="G66" s="465" t="str">
        <f>IF(D66="Medium",'Linear Impact Assessment'!$O88,"0.00")</f>
        <v>0.00</v>
      </c>
      <c r="H66" s="465" t="str">
        <f>IF(D66="Medium-Low",'Linear Impact Assessment'!$O88,"0.00")</f>
        <v>0.00</v>
      </c>
      <c r="I66" s="466" t="str">
        <f>IF(D66="Low",'Linear Impact Assessment'!$O88,"0.00")</f>
        <v>0.00</v>
      </c>
    </row>
    <row r="67" spans="1:9" ht="12.75">
      <c r="A67" s="7"/>
      <c r="B67" s="440">
        <f>'Linear Impact Assessment'!D89</f>
        <v>0</v>
      </c>
      <c r="C67" s="449">
        <f>'Linear Impact Assessment'!E89</f>
        <v>0</v>
      </c>
      <c r="D67" s="450">
        <f>'Linear Impact Assessment'!F89</f>
      </c>
      <c r="E67" s="464" t="str">
        <f>IF(D67="High",'Linear Impact Assessment'!$O89,"0.00")</f>
        <v>0.00</v>
      </c>
      <c r="F67" s="465" t="str">
        <f>IF(D67="Medium-High",'Linear Impact Assessment'!$O89,"0.00")</f>
        <v>0.00</v>
      </c>
      <c r="G67" s="465" t="str">
        <f>IF(D67="Medium",'Linear Impact Assessment'!$O89,"0.00")</f>
        <v>0.00</v>
      </c>
      <c r="H67" s="465" t="str">
        <f>IF(D67="Medium-Low",'Linear Impact Assessment'!$O89,"0.00")</f>
        <v>0.00</v>
      </c>
      <c r="I67" s="466" t="str">
        <f>IF(D67="Low",'Linear Impact Assessment'!$O89,"0.00")</f>
        <v>0.00</v>
      </c>
    </row>
    <row r="68" spans="1:9" ht="12.75">
      <c r="A68" s="7"/>
      <c r="B68" s="440">
        <f>'Linear Impact Assessment'!D90</f>
        <v>0</v>
      </c>
      <c r="C68" s="449">
        <f>'Linear Impact Assessment'!E90</f>
        <v>0</v>
      </c>
      <c r="D68" s="450">
        <f>'Linear Impact Assessment'!F90</f>
      </c>
      <c r="E68" s="464" t="str">
        <f>IF(D68="High",'Linear Impact Assessment'!$O90,"0.00")</f>
        <v>0.00</v>
      </c>
      <c r="F68" s="465" t="str">
        <f>IF(D68="Medium-High",'Linear Impact Assessment'!$O90,"0.00")</f>
        <v>0.00</v>
      </c>
      <c r="G68" s="465" t="str">
        <f>IF(D68="Medium",'Linear Impact Assessment'!$O90,"0.00")</f>
        <v>0.00</v>
      </c>
      <c r="H68" s="465" t="str">
        <f>IF(D68="Medium-Low",'Linear Impact Assessment'!$O90,"0.00")</f>
        <v>0.00</v>
      </c>
      <c r="I68" s="466" t="str">
        <f>IF(D68="Low",'Linear Impact Assessment'!$O90,"0.00")</f>
        <v>0.00</v>
      </c>
    </row>
    <row r="69" spans="1:9" ht="12.75">
      <c r="A69" s="7"/>
      <c r="B69" s="440">
        <f>'Linear Impact Assessment'!D91</f>
        <v>0</v>
      </c>
      <c r="C69" s="449">
        <f>'Linear Impact Assessment'!E91</f>
        <v>0</v>
      </c>
      <c r="D69" s="450">
        <f>'Linear Impact Assessment'!F91</f>
      </c>
      <c r="E69" s="464" t="str">
        <f>IF(D69="High",'Linear Impact Assessment'!$O91,"0.00")</f>
        <v>0.00</v>
      </c>
      <c r="F69" s="465" t="str">
        <f>IF(D69="Medium-High",'Linear Impact Assessment'!$O91,"0.00")</f>
        <v>0.00</v>
      </c>
      <c r="G69" s="465" t="str">
        <f>IF(D69="Medium",'Linear Impact Assessment'!$O91,"0.00")</f>
        <v>0.00</v>
      </c>
      <c r="H69" s="465" t="str">
        <f>IF(D69="Medium-Low",'Linear Impact Assessment'!$O91,"0.00")</f>
        <v>0.00</v>
      </c>
      <c r="I69" s="466" t="str">
        <f>IF(D69="Low",'Linear Impact Assessment'!$O91,"0.00")</f>
        <v>0.00</v>
      </c>
    </row>
    <row r="70" spans="1:9" ht="12.75">
      <c r="A70" s="7"/>
      <c r="B70" s="440">
        <f>'Linear Impact Assessment'!D92</f>
        <v>0</v>
      </c>
      <c r="C70" s="449">
        <f>'Linear Impact Assessment'!E92</f>
        <v>0</v>
      </c>
      <c r="D70" s="450">
        <f>'Linear Impact Assessment'!F92</f>
      </c>
      <c r="E70" s="464" t="str">
        <f>IF(D70="High",'Linear Impact Assessment'!$O92,"0.00")</f>
        <v>0.00</v>
      </c>
      <c r="F70" s="465" t="str">
        <f>IF(D70="Medium-High",'Linear Impact Assessment'!$O92,"0.00")</f>
        <v>0.00</v>
      </c>
      <c r="G70" s="465" t="str">
        <f>IF(D70="Medium",'Linear Impact Assessment'!$O92,"0.00")</f>
        <v>0.00</v>
      </c>
      <c r="H70" s="465" t="str">
        <f>IF(D70="Medium-Low",'Linear Impact Assessment'!$O92,"0.00")</f>
        <v>0.00</v>
      </c>
      <c r="I70" s="466" t="str">
        <f>IF(D70="Low",'Linear Impact Assessment'!$O92,"0.00")</f>
        <v>0.00</v>
      </c>
    </row>
    <row r="71" spans="1:9" ht="12.75">
      <c r="A71" s="7"/>
      <c r="B71" s="440">
        <f>'Linear Impact Assessment'!D93</f>
        <v>0</v>
      </c>
      <c r="C71" s="449">
        <f>'Linear Impact Assessment'!E93</f>
        <v>0</v>
      </c>
      <c r="D71" s="450">
        <f>'Linear Impact Assessment'!F93</f>
      </c>
      <c r="E71" s="464" t="str">
        <f>IF(D71="High",'Linear Impact Assessment'!$O93,"0.00")</f>
        <v>0.00</v>
      </c>
      <c r="F71" s="465" t="str">
        <f>IF(D71="Medium-High",'Linear Impact Assessment'!$O93,"0.00")</f>
        <v>0.00</v>
      </c>
      <c r="G71" s="465" t="str">
        <f>IF(D71="Medium",'Linear Impact Assessment'!$O93,"0.00")</f>
        <v>0.00</v>
      </c>
      <c r="H71" s="465" t="str">
        <f>IF(D71="Medium-Low",'Linear Impact Assessment'!$O93,"0.00")</f>
        <v>0.00</v>
      </c>
      <c r="I71" s="466" t="str">
        <f>IF(D71="Low",'Linear Impact Assessment'!$O93,"0.00")</f>
        <v>0.00</v>
      </c>
    </row>
    <row r="72" spans="1:9" ht="12.75">
      <c r="A72" s="7"/>
      <c r="B72" s="440">
        <f>'Linear Impact Assessment'!D94</f>
        <v>0</v>
      </c>
      <c r="C72" s="449">
        <f>'Linear Impact Assessment'!E94</f>
        <v>0</v>
      </c>
      <c r="D72" s="450">
        <f>'Linear Impact Assessment'!F94</f>
      </c>
      <c r="E72" s="464" t="str">
        <f>IF(D72="High",'Linear Impact Assessment'!$O94,"0.00")</f>
        <v>0.00</v>
      </c>
      <c r="F72" s="465" t="str">
        <f>IF(D72="Medium-High",'Linear Impact Assessment'!$O94,"0.00")</f>
        <v>0.00</v>
      </c>
      <c r="G72" s="465" t="str">
        <f>IF(D72="Medium",'Linear Impact Assessment'!$O94,"0.00")</f>
        <v>0.00</v>
      </c>
      <c r="H72" s="465" t="str">
        <f>IF(D72="Medium-Low",'Linear Impact Assessment'!$O94,"0.00")</f>
        <v>0.00</v>
      </c>
      <c r="I72" s="466" t="str">
        <f>IF(D72="Low",'Linear Impact Assessment'!$O94,"0.00")</f>
        <v>0.00</v>
      </c>
    </row>
    <row r="73" spans="1:11" ht="12.75" customHeight="1">
      <c r="A73" s="7"/>
      <c r="B73" s="440">
        <f>'Linear Impact Assessment'!D95</f>
        <v>0</v>
      </c>
      <c r="C73" s="449">
        <f>'Linear Impact Assessment'!E95</f>
        <v>0</v>
      </c>
      <c r="D73" s="450">
        <f>'Linear Impact Assessment'!F95</f>
      </c>
      <c r="E73" s="464" t="str">
        <f>IF(D73="High",'Linear Impact Assessment'!$O95,"0.00")</f>
        <v>0.00</v>
      </c>
      <c r="F73" s="465" t="str">
        <f>IF(D73="Medium-High",'Linear Impact Assessment'!$O95,"0.00")</f>
        <v>0.00</v>
      </c>
      <c r="G73" s="465" t="str">
        <f>IF(D73="Medium",'Linear Impact Assessment'!$O95,"0.00")</f>
        <v>0.00</v>
      </c>
      <c r="H73" s="465" t="str">
        <f>IF(D73="Medium-Low",'Linear Impact Assessment'!$O95,"0.00")</f>
        <v>0.00</v>
      </c>
      <c r="I73" s="466" t="str">
        <f>IF(D73="Low",'Linear Impact Assessment'!$O95,"0.00")</f>
        <v>0.00</v>
      </c>
      <c r="K73" s="13"/>
    </row>
    <row r="74" spans="1:11" ht="12.75">
      <c r="A74" s="7"/>
      <c r="B74" s="440">
        <f>'Linear Impact Assessment'!D96</f>
        <v>0</v>
      </c>
      <c r="C74" s="449">
        <f>'Linear Impact Assessment'!E96</f>
        <v>0</v>
      </c>
      <c r="D74" s="450">
        <f>'Linear Impact Assessment'!F96</f>
      </c>
      <c r="E74" s="464" t="str">
        <f>IF(D74="High",'Linear Impact Assessment'!$O96,"0.00")</f>
        <v>0.00</v>
      </c>
      <c r="F74" s="465" t="str">
        <f>IF(D74="Medium-High",'Linear Impact Assessment'!$O96,"0.00")</f>
        <v>0.00</v>
      </c>
      <c r="G74" s="465" t="str">
        <f>IF(D74="Medium",'Linear Impact Assessment'!$O96,"0.00")</f>
        <v>0.00</v>
      </c>
      <c r="H74" s="465" t="str">
        <f>IF(D74="Medium-Low",'Linear Impact Assessment'!$O96,"0.00")</f>
        <v>0.00</v>
      </c>
      <c r="I74" s="466" t="str">
        <f>IF(D74="Low",'Linear Impact Assessment'!$O96,"0.00")</f>
        <v>0.00</v>
      </c>
      <c r="K74" s="13"/>
    </row>
    <row r="75" spans="1:9" ht="12.75">
      <c r="A75" s="7"/>
      <c r="B75" s="440">
        <f>'Linear Impact Assessment'!D97</f>
        <v>0</v>
      </c>
      <c r="C75" s="449">
        <f>'Linear Impact Assessment'!E97</f>
        <v>0</v>
      </c>
      <c r="D75" s="450">
        <f>'Linear Impact Assessment'!F97</f>
      </c>
      <c r="E75" s="464" t="str">
        <f>IF(D75="High",'Linear Impact Assessment'!$O97,"0.00")</f>
        <v>0.00</v>
      </c>
      <c r="F75" s="465" t="str">
        <f>IF(D75="Medium-High",'Linear Impact Assessment'!$O97,"0.00")</f>
        <v>0.00</v>
      </c>
      <c r="G75" s="465" t="str">
        <f>IF(D75="Medium",'Linear Impact Assessment'!$O97,"0.00")</f>
        <v>0.00</v>
      </c>
      <c r="H75" s="465" t="str">
        <f>IF(D75="Medium-Low",'Linear Impact Assessment'!$O97,"0.00")</f>
        <v>0.00</v>
      </c>
      <c r="I75" s="466" t="str">
        <f>IF(D75="Low",'Linear Impact Assessment'!$O97,"0.00")</f>
        <v>0.00</v>
      </c>
    </row>
    <row r="76" spans="2:9" s="7" customFormat="1" ht="13.5" thickBot="1">
      <c r="B76" s="443">
        <f>'Linear Impact Assessment'!D98</f>
        <v>0</v>
      </c>
      <c r="C76" s="473">
        <f>'Linear Impact Assessment'!E98</f>
        <v>0</v>
      </c>
      <c r="D76" s="474">
        <f>'Linear Impact Assessment'!F98</f>
      </c>
      <c r="E76" s="467" t="str">
        <f>IF(D76="High",'Linear Impact Assessment'!$O98,"0.00")</f>
        <v>0.00</v>
      </c>
      <c r="F76" s="468" t="str">
        <f>IF(D76="Medium-High",'Linear Impact Assessment'!$O98,"0.00")</f>
        <v>0.00</v>
      </c>
      <c r="G76" s="468" t="str">
        <f>IF(D76="Medium",'Linear Impact Assessment'!$O98,"0.00")</f>
        <v>0.00</v>
      </c>
      <c r="H76" s="468" t="str">
        <f>IF(D76="Medium-Low",'Linear Impact Assessment'!$O98,"0.00")</f>
        <v>0.00</v>
      </c>
      <c r="I76" s="469" t="str">
        <f>IF(D76="Low",'Linear Impact Assessment'!$O98,"0.00")</f>
        <v>0.00</v>
      </c>
    </row>
    <row r="77" spans="2:10" s="7" customFormat="1" ht="13.5" thickBot="1">
      <c r="B77" s="20" t="s">
        <v>219</v>
      </c>
      <c r="C77" s="21">
        <f>SUM(C46:C76)</f>
        <v>1.1400000000000001</v>
      </c>
      <c r="D77" s="26"/>
      <c r="E77" s="423">
        <f>SUM(E46:E76)</f>
        <v>4.757142857142857</v>
      </c>
      <c r="F77" s="424">
        <f>SUM(F46:F76)</f>
        <v>0</v>
      </c>
      <c r="G77" s="424">
        <f>SUM(G46:G76)</f>
        <v>2.2</v>
      </c>
      <c r="H77" s="424">
        <f>SUM(H46:H76)</f>
        <v>0</v>
      </c>
      <c r="I77" s="425">
        <f>SUM(I46:I76)</f>
        <v>0</v>
      </c>
      <c r="J77" s="2"/>
    </row>
    <row r="78" s="7" customFormat="1" ht="12.75"/>
    <row r="79" s="7" customFormat="1" ht="13.5" thickBot="1"/>
    <row r="80" spans="2:9" s="7" customFormat="1" ht="13.5" thickBot="1">
      <c r="B80" s="11" t="s">
        <v>298</v>
      </c>
      <c r="E80" s="35" t="s">
        <v>52</v>
      </c>
      <c r="F80" s="641" t="s">
        <v>307</v>
      </c>
      <c r="G80" s="36" t="s">
        <v>76</v>
      </c>
      <c r="H80" s="642" t="s">
        <v>306</v>
      </c>
      <c r="I80" s="37" t="s">
        <v>54</v>
      </c>
    </row>
    <row r="81" spans="2:9" s="7" customFormat="1" ht="12.75">
      <c r="B81" s="825" t="s">
        <v>223</v>
      </c>
      <c r="C81" s="826"/>
      <c r="D81" s="826"/>
      <c r="E81" s="479">
        <f>E42</f>
        <v>0.5399999999999998</v>
      </c>
      <c r="F81" s="447">
        <f>F42</f>
        <v>0</v>
      </c>
      <c r="G81" s="447">
        <f>G42</f>
        <v>1.2800000000000002</v>
      </c>
      <c r="H81" s="447">
        <f>H42</f>
        <v>0</v>
      </c>
      <c r="I81" s="480">
        <f>I42</f>
        <v>0</v>
      </c>
    </row>
    <row r="82" spans="2:9" s="7" customFormat="1" ht="13.5" thickBot="1">
      <c r="B82" s="827" t="s">
        <v>224</v>
      </c>
      <c r="C82" s="828"/>
      <c r="D82" s="828"/>
      <c r="E82" s="481">
        <f>E77</f>
        <v>4.757142857142857</v>
      </c>
      <c r="F82" s="473">
        <f>F77</f>
        <v>0</v>
      </c>
      <c r="G82" s="473">
        <f>G77</f>
        <v>2.2</v>
      </c>
      <c r="H82" s="473">
        <f>H77</f>
        <v>0</v>
      </c>
      <c r="I82" s="482">
        <f>I77</f>
        <v>0</v>
      </c>
    </row>
    <row r="83" spans="2:11" s="7" customFormat="1" ht="13.5" thickBot="1">
      <c r="B83" s="829" t="s">
        <v>272</v>
      </c>
      <c r="C83" s="830"/>
      <c r="D83" s="832"/>
      <c r="E83" s="32" t="s">
        <v>270</v>
      </c>
      <c r="F83" s="33" t="str">
        <f>IF((E81&gt;E82)*AND(F82&gt;F81),"Yes","No")</f>
        <v>No</v>
      </c>
      <c r="G83" s="33" t="str">
        <f>IF((E84+F84&gt;0)*AND(G82&gt;G81),"Yes","No")</f>
        <v>No</v>
      </c>
      <c r="H83" s="613" t="str">
        <f>IF((E84+F84+G84&gt;0)*AND(H82&gt;H81),"Yes","No")</f>
        <v>No</v>
      </c>
      <c r="I83" s="34" t="str">
        <f>IF(I81&lt;I82,"Yes","No")</f>
        <v>No</v>
      </c>
      <c r="J83" s="4"/>
      <c r="K83" s="3"/>
    </row>
    <row r="84" spans="1:11" s="7" customFormat="1" ht="13.5" thickBot="1">
      <c r="A84" s="17"/>
      <c r="B84" s="819" t="s">
        <v>273</v>
      </c>
      <c r="C84" s="820"/>
      <c r="D84" s="820"/>
      <c r="E84" s="409" t="str">
        <f>IF(E82&lt;E81,E81-E82,"0")</f>
        <v>0</v>
      </c>
      <c r="F84" s="475" t="str">
        <f>IF((E85+F82)&lt;F81,F81-F82-E85,"0")</f>
        <v>0</v>
      </c>
      <c r="G84" s="475" t="str">
        <f>IF((F85+G82)&lt;G81,G81-G82-F85,"0")</f>
        <v>0</v>
      </c>
      <c r="H84" s="614" t="str">
        <f>IF((G85+H82)&lt;H81,H81-H82-G85,"0")</f>
        <v>0</v>
      </c>
      <c r="I84" s="410">
        <f>IF(I83="No",I81-I82,"0")</f>
        <v>0</v>
      </c>
      <c r="J84" s="13"/>
      <c r="K84" s="13"/>
    </row>
    <row r="85" spans="1:11" s="7" customFormat="1" ht="13.5" thickBot="1">
      <c r="A85" s="17"/>
      <c r="B85" s="821" t="s">
        <v>271</v>
      </c>
      <c r="C85" s="822"/>
      <c r="D85" s="822"/>
      <c r="E85" s="411">
        <f>IF(E82&gt;E81,E82-E81,"0")</f>
        <v>4.217142857142857</v>
      </c>
      <c r="F85" s="476">
        <f>IF((E85+F82-F81-E84)&gt;0,E85+F82-F81-E84,"0")</f>
        <v>4.217142857142857</v>
      </c>
      <c r="G85" s="476">
        <f>IF((F85+G82-G81-F84-E84)&gt;0,F85+G82-G81-F84-E84,"0")</f>
        <v>5.137142857142857</v>
      </c>
      <c r="H85" s="615">
        <f>IF((G85+H82-H81-G84-F84-E84)&gt;0,G85+H82-H81-G84-F84-E84,"0")</f>
        <v>5.137142857142857</v>
      </c>
      <c r="I85" s="412" t="s">
        <v>112</v>
      </c>
      <c r="J85" s="40" t="s">
        <v>111</v>
      </c>
      <c r="K85" s="13"/>
    </row>
    <row r="86" spans="2:11" s="7" customFormat="1" ht="13.5" thickBot="1">
      <c r="B86" s="833" t="s">
        <v>213</v>
      </c>
      <c r="C86" s="831"/>
      <c r="D86" s="831"/>
      <c r="E86" s="477" t="s">
        <v>112</v>
      </c>
      <c r="F86" s="478" t="str">
        <f>IF((F83="yes")*AND(E81&gt;E82)*AND(F82-F81&gt;E84),-E84,IF((F83="yes")*AND(E81&gt;E82)*AND(F82-F81&lt;E84),F81-F82,"0"))</f>
        <v>0</v>
      </c>
      <c r="G86" s="478" t="str">
        <f>IF((G83="yes")*AND(E84+F84&gt;0)*AND(G82-G81&gt;F84+E84),-E84-F84,IF((G83="yes")*AND(E84+F84&gt;0)*AND(G82-G81&lt;F84+E84),G81-G82,"0"))</f>
        <v>0</v>
      </c>
      <c r="H86" s="616" t="str">
        <f>IF((H83="yes")*AND(E84+F84+G84&gt;0)*AND(H82-H81&gt;G84+F84+E84),-E84-F84-G84,IF((H83="yes")*AND(E84+F84+G84&gt;0)*AND(G82-G81&lt;G84+F84+E84),H81-H82,"0"))</f>
        <v>0</v>
      </c>
      <c r="I86" s="413" t="str">
        <f>IF(I83="Yes",I81-I82,"0")</f>
        <v>0</v>
      </c>
      <c r="J86" s="435">
        <f>SUM(F86:I86)</f>
        <v>0</v>
      </c>
      <c r="K86" s="15"/>
    </row>
    <row r="87" spans="5:11" s="7" customFormat="1" ht="12.75">
      <c r="E87" s="18"/>
      <c r="F87" s="2"/>
      <c r="G87" s="2"/>
      <c r="H87" s="2"/>
      <c r="J87" s="3"/>
      <c r="K87" s="13"/>
    </row>
    <row r="88" spans="5:10" s="7" customFormat="1" ht="12.75">
      <c r="E88" s="15"/>
      <c r="J88" s="3"/>
    </row>
    <row r="89" spans="2:10" s="7" customFormat="1" ht="41.25" customHeight="1">
      <c r="B89" s="817" t="s">
        <v>326</v>
      </c>
      <c r="C89" s="817"/>
      <c r="D89" s="817"/>
      <c r="E89" s="817"/>
      <c r="F89" s="817"/>
      <c r="G89" s="817"/>
      <c r="H89" s="817"/>
      <c r="I89" s="817"/>
      <c r="J89" s="13"/>
    </row>
    <row r="90" s="7" customFormat="1" ht="12.75">
      <c r="B90" s="2"/>
    </row>
    <row r="91" spans="2:9" s="7" customFormat="1" ht="26.25" customHeight="1">
      <c r="B91" s="823" t="s">
        <v>283</v>
      </c>
      <c r="C91" s="823"/>
      <c r="D91" s="823"/>
      <c r="E91" s="823"/>
      <c r="F91" s="823"/>
      <c r="G91" s="823"/>
      <c r="H91" s="823"/>
      <c r="I91" s="823"/>
    </row>
    <row r="92" spans="2:9" s="7" customFormat="1" ht="12.75">
      <c r="B92" s="5"/>
      <c r="C92" s="5"/>
      <c r="D92" s="5"/>
      <c r="E92" s="5"/>
      <c r="F92" s="5"/>
      <c r="G92" s="5"/>
      <c r="H92" s="5"/>
      <c r="I92" s="5"/>
    </row>
    <row r="93" s="7" customFormat="1" ht="12.75"/>
    <row r="94" s="7" customFormat="1" ht="12.75"/>
    <row r="95" s="7" customFormat="1" ht="12.75"/>
    <row r="96" s="7" customFormat="1" ht="12.75"/>
    <row r="97" s="7" customFormat="1" ht="12.75"/>
    <row r="98" s="7" customFormat="1" ht="12.75"/>
    <row r="99" s="7" customFormat="1" ht="12.75"/>
    <row r="100" s="7" customFormat="1" ht="12.75"/>
    <row r="101" s="7" customFormat="1" ht="12.75"/>
    <row r="102" s="7" customFormat="1" ht="12.75"/>
    <row r="103" s="7" customFormat="1" ht="12.75"/>
    <row r="104" s="7" customFormat="1" ht="12.75"/>
    <row r="105" s="7" customFormat="1" ht="12.75"/>
    <row r="106" s="7" customFormat="1" ht="12.75"/>
    <row r="107" s="7" customFormat="1" ht="12.75"/>
    <row r="108" s="7" customFormat="1" ht="12.75"/>
    <row r="109" s="7" customFormat="1" ht="12.75"/>
    <row r="110" s="7" customFormat="1" ht="12.75"/>
    <row r="111" s="7" customFormat="1" ht="12.75"/>
    <row r="112" s="7" customFormat="1" ht="12.75"/>
    <row r="113" s="7" customFormat="1" ht="12.75"/>
    <row r="114" s="7" customFormat="1" ht="12.75"/>
    <row r="115" s="7" customFormat="1" ht="12.75"/>
    <row r="116" s="7" customFormat="1" ht="12.75"/>
    <row r="117" s="7" customFormat="1" ht="12.75"/>
    <row r="118" s="7" customFormat="1" ht="12.75"/>
    <row r="119" s="7" customFormat="1" ht="12.75"/>
    <row r="120" s="7" customFormat="1" ht="12.75"/>
    <row r="121" s="7" customFormat="1" ht="12.75"/>
    <row r="122" s="7" customFormat="1" ht="12.75"/>
    <row r="123" s="7" customFormat="1" ht="12.75"/>
  </sheetData>
  <sheetProtection password="E252" sheet="1" selectLockedCells="1" selectUnlockedCells="1"/>
  <mergeCells count="9">
    <mergeCell ref="B89:I89"/>
    <mergeCell ref="B91:I91"/>
    <mergeCell ref="B2:I2"/>
    <mergeCell ref="B84:D84"/>
    <mergeCell ref="B85:D85"/>
    <mergeCell ref="B81:D81"/>
    <mergeCell ref="B82:D82"/>
    <mergeCell ref="B83:D83"/>
    <mergeCell ref="B86:D86"/>
  </mergeCells>
  <printOptions/>
  <pageMargins left="0.7" right="0.7" top="0.75" bottom="0.75" header="0.3" footer="0.3"/>
  <pageSetup horizontalDpi="600" verticalDpi="600" orientation="portrait" paperSize="9" scale="53" r:id="rId1"/>
  <rowBreaks count="1" manualBreakCount="1">
    <brk id="4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Biodiversity Impact Assessment calculator</dc:title>
  <dc:subject/>
  <dc:creator>David Lowe</dc:creator>
  <cp:keywords/>
  <dc:description/>
  <cp:lastModifiedBy>William Coles</cp:lastModifiedBy>
  <cp:lastPrinted>2013-08-12T16:27:47Z</cp:lastPrinted>
  <dcterms:created xsi:type="dcterms:W3CDTF">2012-01-30T14:28:39Z</dcterms:created>
  <dcterms:modified xsi:type="dcterms:W3CDTF">2017-03-23T11:01:12Z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CCCoverage">
    <vt:lpwstr>2;#Warwickshire|ae50136a-0dd2-4024-b418-b2091d7c47d2</vt:lpwstr>
  </property>
  <property fmtid="{D5CDD505-2E9C-101B-9397-08002B2CF9AE}" pid="3" name="TeamOwner">
    <vt:lpwstr>429;#Ecology|3035758b-7411-4ba6-b50b-f73923e3e483</vt:lpwstr>
  </property>
  <property fmtid="{D5CDD505-2E9C-101B-9397-08002B2CF9AE}" pid="4" name="p74728458d774d52933435494d1025d8">
    <vt:lpwstr>English|f4583307-def8-4647-b7db-2a1d8f1f5719</vt:lpwstr>
  </property>
  <property fmtid="{D5CDD505-2E9C-101B-9397-08002B2CF9AE}" pid="5" name="d95c383c9a774e2b9bd7fdb68c5e0fc7">
    <vt:lpwstr>Warwickshire|ae50136a-0dd2-4024-b418-b2091d7c47d2</vt:lpwstr>
  </property>
  <property fmtid="{D5CDD505-2E9C-101B-9397-08002B2CF9AE}" pid="6" name="DocSetName">
    <vt:lpwstr>Ecology</vt:lpwstr>
  </property>
  <property fmtid="{D5CDD505-2E9C-101B-9397-08002B2CF9AE}" pid="7" name="ReviewDate">
    <vt:lpwstr>2113-12-24T00:00:00Z</vt:lpwstr>
  </property>
  <property fmtid="{D5CDD505-2E9C-101B-9397-08002B2CF9AE}" pid="8" name="eb17d457039448a19415618ca7d78093">
    <vt:lpwstr/>
  </property>
  <property fmtid="{D5CDD505-2E9C-101B-9397-08002B2CF9AE}" pid="9" name="WCCKeywords">
    <vt:lpwstr/>
  </property>
  <property fmtid="{D5CDD505-2E9C-101B-9397-08002B2CF9AE}" pid="10" name="ReviewersEmail">
    <vt:lpwstr>884;#Barbara Golding;#1245;#David Lowe</vt:lpwstr>
  </property>
  <property fmtid="{D5CDD505-2E9C-101B-9397-08002B2CF9AE}" pid="11" name="WCCSubject">
    <vt:lpwstr>428;#Biodiversity|a19a4bf4-0c0c-4630-bcb4-56ed776315de</vt:lpwstr>
  </property>
  <property fmtid="{D5CDD505-2E9C-101B-9397-08002B2CF9AE}" pid="12" name="kf4ca89d09f0480889ccabff7fc6ee9b">
    <vt:lpwstr>Ecology|3035758b-7411-4ba6-b50b-f73923e3e483</vt:lpwstr>
  </property>
  <property fmtid="{D5CDD505-2E9C-101B-9397-08002B2CF9AE}" pid="13" name="TaxCatchAll">
    <vt:lpwstr>428;#Biodiversity|a19a4bf4-0c0c-4630-bcb4-56ed776315de;#261;#Assessment|ecb99103-0d65-4334-86ed-b3c51dec8f1f;#3;#English|f4583307-def8-4647-b7db-2a1d8f1f5719;#2;#Warwickshire|ae50136a-0dd2-4024-b418-b2091d7c47d2;#1;#Public|05e63c81-95b9-45a0-a9c9-9bc31678</vt:lpwstr>
  </property>
  <property fmtid="{D5CDD505-2E9C-101B-9397-08002B2CF9AE}" pid="14" name="p638553eefd44050b6b6e45ef74c803c">
    <vt:lpwstr>Public|05e63c81-95b9-45a0-a9c9-9bc316784073</vt:lpwstr>
  </property>
  <property fmtid="{D5CDD505-2E9C-101B-9397-08002B2CF9AE}" pid="15" name="kcda1755ffd5425aafc66d6689a5558d">
    <vt:lpwstr>Biodiversity|a19a4bf4-0c0c-4630-bcb4-56ed776315de</vt:lpwstr>
  </property>
  <property fmtid="{D5CDD505-2E9C-101B-9397-08002B2CF9AE}" pid="16" name="ItemRetentionFormula">
    <vt:lpwstr>&lt;formula id="Microsoft.Office.RecordsManagement.PolicyFeatures.Expiration.Formula.BuiltIn"&gt;&lt;number&gt;0&lt;/number&gt;&lt;property&gt;WCC_x005F_x0020_Disposal_x005F_x0020_Date&lt;/property&gt;&lt;propertyId&gt;9ea57d62-0549-4e65-a581-55f823dbf45c&lt;/propertyId&gt;&lt;period&gt;days&lt;/period&gt;&lt;/formula&gt;</vt:lpwstr>
  </property>
  <property fmtid="{D5CDD505-2E9C-101B-9397-08002B2CF9AE}" pid="17" name="_dlc_policyId">
    <vt:lpwstr>0x01010035C89CCD2483A2479FECC59E2E56452D00E53E4C0FE5E82A48A500E89033CFD0E8|-626270482</vt:lpwstr>
  </property>
  <property fmtid="{D5CDD505-2E9C-101B-9397-08002B2CF9AE}" pid="18" name="_dlc_DocId">
    <vt:lpwstr>WCCC-863-512</vt:lpwstr>
  </property>
  <property fmtid="{D5CDD505-2E9C-101B-9397-08002B2CF9AE}" pid="19" name="_dlc_DocIdItemGuid">
    <vt:lpwstr>26b1caed-8b7f-48fa-834e-262b73fb9b2b</vt:lpwstr>
  </property>
  <property fmtid="{D5CDD505-2E9C-101B-9397-08002B2CF9AE}" pid="20" name="_dlc_DocIdUrl">
    <vt:lpwstr>http://edrm/HCS/_layouts/DocIdRedir.aspx?ID=WCCC-863-512, WCCC-863-512</vt:lpwstr>
  </property>
  <property fmtid="{D5CDD505-2E9C-101B-9397-08002B2CF9AE}" pid="21" name="DocumentType">
    <vt:lpwstr>261;#Assessment|ecb99103-0d65-4334-86ed-b3c51dec8f1f</vt:lpwstr>
  </property>
  <property fmtid="{D5CDD505-2E9C-101B-9397-08002B2CF9AE}" pid="22" name="DocumentStatus">
    <vt:lpwstr>Active</vt:lpwstr>
  </property>
  <property fmtid="{D5CDD505-2E9C-101B-9397-08002B2CF9AE}" pid="23" name="o59add4030c047c89bd5998caae9662d">
    <vt:lpwstr>Assessment|ecb99103-0d65-4334-86ed-b3c51dec8f1f</vt:lpwstr>
  </property>
  <property fmtid="{D5CDD505-2E9C-101B-9397-08002B2CF9AE}" pid="24" name="ProtectiveMarking">
    <vt:lpwstr>1;#Public|05e63c81-95b9-45a0-a9c9-9bc316784073</vt:lpwstr>
  </property>
  <property fmtid="{D5CDD505-2E9C-101B-9397-08002B2CF9AE}" pid="25" name="Approver(s)">
    <vt:lpwstr>821;#WCC-CORP\Bwal5</vt:lpwstr>
  </property>
  <property fmtid="{D5CDD505-2E9C-101B-9397-08002B2CF9AE}" pid="26" name="display_urn:schemas-microsoft-com:office:office#Approver_x0028_s_x0029_">
    <vt:lpwstr>Ben Wallace</vt:lpwstr>
  </property>
  <property fmtid="{D5CDD505-2E9C-101B-9397-08002B2CF9AE}" pid="27" name="WCCLanguage">
    <vt:lpwstr>3;#English|f4583307-def8-4647-b7db-2a1d8f1f5719</vt:lpwstr>
  </property>
  <property fmtid="{D5CDD505-2E9C-101B-9397-08002B2CF9AE}" pid="28" name="WorkflowChangePath">
    <vt:lpwstr>a72e65fa-c7bd-47c4-8e3c-6ac1bcbf71c3,5;a72e65fa-c7bd-47c4-8e3c-6ac1bcbf71c3,5;a72e65fa-c7bd-47c4-8e3c-6ac1bcbf71c3,6;a72e65fa-c7bd-47c4-8e3c-6ac1bcbf71c3,6;</vt:lpwstr>
  </property>
  <property fmtid="{D5CDD505-2E9C-101B-9397-08002B2CF9AE}" pid="29" name="SetDocumentType">
    <vt:lpwstr>Assessment|ecb99103-0d65-4334-86ed-b3c51dec8f1f</vt:lpwstr>
  </property>
  <property fmtid="{D5CDD505-2E9C-101B-9397-08002B2CF9AE}" pid="30" name="RetentionStarts">
    <vt:lpwstr>2015-11-02T00:00:00Z</vt:lpwstr>
  </property>
  <property fmtid="{D5CDD505-2E9C-101B-9397-08002B2CF9AE}" pid="31" name="WCC Disposal Date">
    <vt:lpwstr>2019-11-02T00:00:00Z</vt:lpwstr>
  </property>
  <property fmtid="{D5CDD505-2E9C-101B-9397-08002B2CF9AE}" pid="32" name="_dlc_ExpireDate">
    <vt:lpwstr>2019-11-02T00:00:00Z</vt:lpwstr>
  </property>
</Properties>
</file>