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645" activeTab="1"/>
  </bookViews>
  <sheets>
    <sheet name="Infrastructure" sheetId="1" r:id="rId1"/>
    <sheet name="Phase 1" sheetId="2" r:id="rId2"/>
    <sheet name="Sheet1" sheetId="3" r:id="rId3"/>
  </sheets>
  <externalReferences>
    <externalReference r:id="rId6"/>
    <externalReference r:id="rId7"/>
    <externalReference r:id="rId8"/>
  </externalReferences>
  <definedNames>
    <definedName name="CEM_I_Portland_Cement">'[1]Data'!$C$57:$C$81,'[1]Data'!$C$88:$C$93</definedName>
    <definedName name="cement_data">'[1]Data'!$C$57:$L$93</definedName>
    <definedName name="cement_hide3">'[1]Data'!$U$2:$U$36</definedName>
    <definedName name="cement_lookup1">'[1]Data'!$C$57:$M$93</definedName>
    <definedName name="conc">#REF!</definedName>
    <definedName name="conc2">#REF!</definedName>
    <definedName name="concr_block_lookup">'[1]Data'!$C$94:$M$98</definedName>
    <definedName name="cuqual">'[1]Data'!$N$23:$N$24</definedName>
    <definedName name="extralist">'[1]Report'!$G$21:$G$30</definedName>
    <definedName name="glass">'[1]Data'!$C$127:$M$130</definedName>
    <definedName name="h">'[3]Data'!$B$132:$B$134</definedName>
    <definedName name="largekabin" localSheetId="1">'[1]Data'!#REF!</definedName>
    <definedName name="largekabin">'[1]Data'!#REF!</definedName>
    <definedName name="mediumkabin" localSheetId="1">'[1]Data'!#REF!</definedName>
    <definedName name="mediumkabin">'[1]Data'!#REF!</definedName>
    <definedName name="metal_lookup">'[1]Data'!$C$99:$M$126</definedName>
    <definedName name="metalfin">#REF!</definedName>
    <definedName name="misc_lookup">'[1]Data'!$C$135:$M$145</definedName>
    <definedName name="morcfin">#REF!</definedName>
    <definedName name="mortars_lookup">'[1]Data'!$C$50:$M$56</definedName>
    <definedName name="other">#REF!</definedName>
    <definedName name="paint_seal">'[1]Data'!$C$131:$M$134</definedName>
    <definedName name="plasfin">#REF!</definedName>
    <definedName name="plastics_lookup">'[1]Data'!$C$146:$M$154</definedName>
    <definedName name="_xlnm.Print_Area" localSheetId="0">'Infrastructure'!$A$1:$AA$29</definedName>
    <definedName name="_xlnm.Print_Area" localSheetId="1">'Phase 1'!$A$1:$AA$89</definedName>
    <definedName name="_xlnm.Print_Titles" localSheetId="0">'Infrastructure'!$1:$3</definedName>
    <definedName name="_xlnm.Print_Titles" localSheetId="1">'Phase 1'!$1:$3</definedName>
    <definedName name="quarry_lookup">'[1]Data'!$C$14:$M$39</definedName>
    <definedName name="quarryfin">#REF!</definedName>
    <definedName name="seasons" localSheetId="1">'[1]Data'!#REF!</definedName>
    <definedName name="seasons">'[1]Data'!#REF!</definedName>
    <definedName name="smallkabin" localSheetId="1">'[1]Data'!#REF!</definedName>
    <definedName name="smallkabin">'[1]Data'!#REF!</definedName>
    <definedName name="timber_lookup">'[1]Data'!$C$40:$M$49</definedName>
    <definedName name="timberfin">#REF!</definedName>
    <definedName name="transem">'[1]Data'!$C$164:$L$166</definedName>
    <definedName name="transport">'[1]Data'!$C$164:$C$166</definedName>
  </definedNames>
  <calcPr fullCalcOnLoad="1"/>
</workbook>
</file>

<file path=xl/sharedStrings.xml><?xml version="1.0" encoding="utf-8"?>
<sst xmlns="http://schemas.openxmlformats.org/spreadsheetml/2006/main" count="1232" uniqueCount="451">
  <si>
    <t>Element</t>
  </si>
  <si>
    <t>Single Ply</t>
  </si>
  <si>
    <t>Recycled Content</t>
  </si>
  <si>
    <t>Green Guide Rating</t>
  </si>
  <si>
    <t>Costs</t>
  </si>
  <si>
    <t>Distance from Site</t>
  </si>
  <si>
    <t>Location used on site</t>
  </si>
  <si>
    <t>Decision</t>
  </si>
  <si>
    <t>Road Surfacing</t>
  </si>
  <si>
    <t>Kerb</t>
  </si>
  <si>
    <t>Unit</t>
  </si>
  <si>
    <t>m2</t>
  </si>
  <si>
    <t>m</t>
  </si>
  <si>
    <t>Edging</t>
  </si>
  <si>
    <t>Bridge</t>
  </si>
  <si>
    <t>Marshalls Mistral Priora Permeable Paving</t>
  </si>
  <si>
    <t>Roof Finish</t>
  </si>
  <si>
    <t>140mm Dense Concrete Blockwork</t>
  </si>
  <si>
    <t>Energy Centre</t>
  </si>
  <si>
    <t>Through Colour Render</t>
  </si>
  <si>
    <t>75mm Rockwool Insulation</t>
  </si>
  <si>
    <t>Green Wall</t>
  </si>
  <si>
    <t>Doors</t>
  </si>
  <si>
    <t>Single Leaf Fire Escape</t>
  </si>
  <si>
    <t>Double Leaf Fire Escape</t>
  </si>
  <si>
    <t>Louvre</t>
  </si>
  <si>
    <t>Roller Shutter</t>
  </si>
  <si>
    <t>Wall Construction</t>
  </si>
  <si>
    <t>100mm Dense Concrete Blockwork</t>
  </si>
  <si>
    <t>Paint</t>
  </si>
  <si>
    <t>Marshalls Tegula Impermeable Paving</t>
  </si>
  <si>
    <t>Edging (50 x 150)</t>
  </si>
  <si>
    <t>Permeable Paving (80mm thick)</t>
  </si>
  <si>
    <t>Grasscrete Block Paving (150mm thick)</t>
  </si>
  <si>
    <t>Hollow Blocks (440 x 215)</t>
  </si>
  <si>
    <t>Recon Stone Dressings (150mm thick)</t>
  </si>
  <si>
    <t>Recon Stone Dressings (100mm thick)</t>
  </si>
  <si>
    <t>River Corridor Neap</t>
  </si>
  <si>
    <t>Energy Centre (Internal Walls)</t>
  </si>
  <si>
    <t>Energy Centre (External Doors)</t>
  </si>
  <si>
    <t>Energy Centre (Internal)</t>
  </si>
  <si>
    <t>Impermeable Paving (80mm thick)</t>
  </si>
  <si>
    <t>Marshalls Tegula Priora Permeable Paving</t>
  </si>
  <si>
    <t>Permeable Priora Paving (80mm thick)</t>
  </si>
  <si>
    <t>Marshalls Granite Sett Paving</t>
  </si>
  <si>
    <t>Granite Sett Paving</t>
  </si>
  <si>
    <t>Charcon EcoKerb</t>
  </si>
  <si>
    <t>Charcon Hydrokerb</t>
  </si>
  <si>
    <t>Energy Centre (Internal and External Doors)</t>
  </si>
  <si>
    <t>Aggregate Industries</t>
  </si>
  <si>
    <t>Responsible Sourcing</t>
  </si>
  <si>
    <t>Material Description</t>
  </si>
  <si>
    <t>Concrete</t>
  </si>
  <si>
    <t>Marshalls</t>
  </si>
  <si>
    <t>6- 14%</t>
  </si>
  <si>
    <t>7 – 9 %</t>
  </si>
  <si>
    <t>45kgCO2/m2</t>
  </si>
  <si>
    <t>28kgCO2/m2</t>
  </si>
  <si>
    <t>25mm SMA 6mm Mastertint</t>
  </si>
  <si>
    <t>Tarmac</t>
  </si>
  <si>
    <t>Mastertint</t>
  </si>
  <si>
    <t>Details not available</t>
  </si>
  <si>
    <t>Information not available</t>
  </si>
  <si>
    <t>BES 6001
ISO 9001</t>
  </si>
  <si>
    <t>Not applicable</t>
  </si>
  <si>
    <t>BES 6001</t>
  </si>
  <si>
    <t>Grasscrete Paving</t>
  </si>
  <si>
    <t>Estimated figures - 0.056kgCO2/ kg (from ICE database)</t>
  </si>
  <si>
    <t>Estimated figures - 0.098kgCO2/ kg (from ICE database)</t>
  </si>
  <si>
    <t>Estimated figures - 1.05kgCO2/ kg (from ICE database)</t>
  </si>
  <si>
    <t>Estimated figures - 1.06kgCO2/ m2 (from ICE database)</t>
  </si>
  <si>
    <t>Estimated figures - 2.41kgCO2/ kg (from ICE database)</t>
  </si>
  <si>
    <t>What are options for material choice?</t>
  </si>
  <si>
    <t>Are aesthetics important?</t>
  </si>
  <si>
    <t>Is durability important?</t>
  </si>
  <si>
    <t>Yes</t>
  </si>
  <si>
    <t>Hot Lay Asphalt</t>
  </si>
  <si>
    <t>104.05 kgCO2/tonne</t>
  </si>
  <si>
    <t>~115 kgCO2/tonne</t>
  </si>
  <si>
    <t>104.38 kgCO2/tonne</t>
  </si>
  <si>
    <t>No recycled content as virgin aggregates used to achieve required colours</t>
  </si>
  <si>
    <t>New Carriageway</t>
  </si>
  <si>
    <t>No</t>
  </si>
  <si>
    <t>KERBS AND EDGING</t>
  </si>
  <si>
    <t>ROAD AND FOOTPATH SURFACING</t>
  </si>
  <si>
    <t>ENERGY CENTRE</t>
  </si>
  <si>
    <t>Frame</t>
  </si>
  <si>
    <t>Metal</t>
  </si>
  <si>
    <t>All dwellings and integral garages</t>
  </si>
  <si>
    <t>Off plot garages and bin/cycle stores</t>
  </si>
  <si>
    <t>xxx</t>
  </si>
  <si>
    <t>Floors between flats</t>
  </si>
  <si>
    <t>Timber TJI Joists</t>
  </si>
  <si>
    <t>Floors within houses</t>
  </si>
  <si>
    <t>Foundations</t>
  </si>
  <si>
    <t>Gen 3 concrete</t>
  </si>
  <si>
    <t>Gen 1 concrete</t>
  </si>
  <si>
    <t>Beam and Block - Hanson Thermalite Block</t>
  </si>
  <si>
    <t>Beam and Block - Aggregate Block</t>
  </si>
  <si>
    <t>Beam and Block - Hanson Jet Floor</t>
  </si>
  <si>
    <t>Roof</t>
  </si>
  <si>
    <t>Dwellings</t>
  </si>
  <si>
    <t>Flats</t>
  </si>
  <si>
    <t>Green Roofs</t>
  </si>
  <si>
    <t>Beckstone</t>
  </si>
  <si>
    <t>Single Ply Membrane</t>
  </si>
  <si>
    <t>Red Tile</t>
  </si>
  <si>
    <t>Render - K rend</t>
  </si>
  <si>
    <t>INTERNALS</t>
  </si>
  <si>
    <t>Ground Floor</t>
  </si>
  <si>
    <t>Upper Floors</t>
  </si>
  <si>
    <t>Stairs</t>
  </si>
  <si>
    <t>Communal Stairs</t>
  </si>
  <si>
    <t>Metal Stairs</t>
  </si>
  <si>
    <t>Timber Stairs</t>
  </si>
  <si>
    <t>House Stairs</t>
  </si>
  <si>
    <t>uPVC Windows</t>
  </si>
  <si>
    <t>External Doors</t>
  </si>
  <si>
    <t>IG Doors</t>
  </si>
  <si>
    <t>Internal Doors</t>
  </si>
  <si>
    <t>Affordable Dwellings</t>
  </si>
  <si>
    <t>Premdor</t>
  </si>
  <si>
    <t>Private Dwellings</t>
  </si>
  <si>
    <t>MDF</t>
  </si>
  <si>
    <t>Softwood</t>
  </si>
  <si>
    <t>Skirting and Architrave</t>
  </si>
  <si>
    <t>Timber - Open Panel</t>
  </si>
  <si>
    <t>All dwllings (based on frame achieving a 0.15 u value)</t>
  </si>
  <si>
    <t>Hanson</t>
  </si>
  <si>
    <t>Dwellings - Tiles</t>
  </si>
  <si>
    <t>Green roof - Blanket</t>
  </si>
  <si>
    <t>Green roof - Plug</t>
  </si>
  <si>
    <t>Oxford, OX29 7WJ</t>
  </si>
  <si>
    <t>Embodied Carbon           (kg CO2/kg)</t>
  </si>
  <si>
    <t>Traditional Brick and Block</t>
  </si>
  <si>
    <t>Soft clay brick</t>
  </si>
  <si>
    <t>246 kg/tonne</t>
  </si>
  <si>
    <t>A to A+</t>
  </si>
  <si>
    <t>Source</t>
  </si>
  <si>
    <t>23 miles</t>
  </si>
  <si>
    <t>Thermalite Block</t>
  </si>
  <si>
    <t>Aggregate Block</t>
  </si>
  <si>
    <t>Jet Floor Infill</t>
  </si>
  <si>
    <t>A+</t>
  </si>
  <si>
    <t>Heat treated softwood</t>
  </si>
  <si>
    <t>1 mile</t>
  </si>
  <si>
    <t>12.9 kg / window</t>
  </si>
  <si>
    <t>White uPVC</t>
  </si>
  <si>
    <t>ISO 14001</t>
  </si>
  <si>
    <t>-</t>
  </si>
  <si>
    <t>Bicester, OX26 2UA</t>
  </si>
  <si>
    <t>199 kg/tonne</t>
  </si>
  <si>
    <t>ISO14001       BES 6001</t>
  </si>
  <si>
    <t>Render - Weber Pral M</t>
  </si>
  <si>
    <t>Weber</t>
  </si>
  <si>
    <t>Slate tile</t>
  </si>
  <si>
    <t>Recon stone tile</t>
  </si>
  <si>
    <t>Concrete tile</t>
  </si>
  <si>
    <t xml:space="preserve">Cladding - Thermowood </t>
  </si>
  <si>
    <t>Other information</t>
  </si>
  <si>
    <t>Stoke-on-Trent, ST10 3BX</t>
  </si>
  <si>
    <t>99 miles</t>
  </si>
  <si>
    <t>Email from Emily Townsend (Tarmac), 120815</t>
  </si>
  <si>
    <t>Email from Linda Twidale (Weber) 121002</t>
  </si>
  <si>
    <t>5.5 kgCO2 / m2</t>
  </si>
  <si>
    <t>Cement through colour render</t>
  </si>
  <si>
    <t>Brick - Hanson Atherstone Brick</t>
  </si>
  <si>
    <t>Green roof</t>
  </si>
  <si>
    <t>ICE Database</t>
  </si>
  <si>
    <t>Gen 2 concrete</t>
  </si>
  <si>
    <t>Gen 2 concrete, 25% BFS</t>
  </si>
  <si>
    <t>Timber</t>
  </si>
  <si>
    <t>Concrete Kerb</t>
  </si>
  <si>
    <t>6% to 10%</t>
  </si>
  <si>
    <t>Steel</t>
  </si>
  <si>
    <t>Flooring</t>
  </si>
  <si>
    <t>Other Surfacing</t>
  </si>
  <si>
    <t>Wood Chip</t>
  </si>
  <si>
    <t>Wood</t>
  </si>
  <si>
    <t>Timber form felled trees</t>
  </si>
  <si>
    <t>Mulch</t>
  </si>
  <si>
    <t>Site</t>
  </si>
  <si>
    <t>0 miles</t>
  </si>
  <si>
    <t>Recycled from felled trees</t>
  </si>
  <si>
    <t>12.74 kg co2 / block</t>
  </si>
  <si>
    <t>BES 6001
BS 14001 
BS 9001</t>
  </si>
  <si>
    <t>E</t>
  </si>
  <si>
    <t>Figures estimated from ICE Database</t>
  </si>
  <si>
    <t>Stone - Beksonte</t>
  </si>
  <si>
    <t>Stone</t>
  </si>
  <si>
    <t>Bekstone</t>
  </si>
  <si>
    <t>Oxfordshire, OX18 3WN</t>
  </si>
  <si>
    <t>26 miles</t>
  </si>
  <si>
    <t>Block</t>
  </si>
  <si>
    <t>Sustain report, November 2011</t>
  </si>
  <si>
    <t>Based on reinfored GEN 1 from ICE Database</t>
  </si>
  <si>
    <t>0.059 to 0.1</t>
  </si>
  <si>
    <t>Based on precast RC 40/50 values from ICE database</t>
  </si>
  <si>
    <t>Supplier Location</t>
  </si>
  <si>
    <t>DWELLINGS - SUBSTRUCTURE</t>
  </si>
  <si>
    <t>DWELLINGS - EXTERNALS</t>
  </si>
  <si>
    <t>70 miles</t>
  </si>
  <si>
    <t>Mitcham, CR4 4HY</t>
  </si>
  <si>
    <t>Oxfordshire, OX26 5DS</t>
  </si>
  <si>
    <t>3 miles</t>
  </si>
  <si>
    <t>GRP Door</t>
  </si>
  <si>
    <t>Torfaen, NP44 1TY</t>
  </si>
  <si>
    <t>107 miles</t>
  </si>
  <si>
    <t>B to A+</t>
  </si>
  <si>
    <t>E to B</t>
  </si>
  <si>
    <t>A</t>
  </si>
  <si>
    <t>D to A+</t>
  </si>
  <si>
    <t>Cement self colour render</t>
  </si>
  <si>
    <t>24kgCO2/m2</t>
  </si>
  <si>
    <t>Low Energy Asphalt</t>
  </si>
  <si>
    <t>http://www.mqp.co.uk/low-energy-asphalt.htm</t>
  </si>
  <si>
    <t>Redland Slate Cambrian</t>
  </si>
  <si>
    <t>900 kg CO2/tonne</t>
  </si>
  <si>
    <t>minimum 60%</t>
  </si>
  <si>
    <t>Email from Kevin Ley (Monier) 121009</t>
  </si>
  <si>
    <t>Green roof - Seeded</t>
  </si>
  <si>
    <t>~70%</t>
  </si>
  <si>
    <t>~80%</t>
  </si>
  <si>
    <t>~ 0%</t>
  </si>
  <si>
    <t>Data taken from BioRegional Material Tracker, 120315</t>
  </si>
  <si>
    <t>Email from Peter Weston (Marshalls), 121002</t>
  </si>
  <si>
    <t>Email from Peter Taft (Aggregate), 120821 &amp; 120905</t>
  </si>
  <si>
    <t>Email from Haydn Cook (Bauder) 121009</t>
  </si>
  <si>
    <t>ISO 9001</t>
  </si>
  <si>
    <t>1% to 5%</t>
  </si>
  <si>
    <t>Email from Geoff Mooney (Kilwaughter), 120816 &amp; 121002</t>
  </si>
  <si>
    <t>Kilwaughter</t>
  </si>
  <si>
    <t>Up to 100%</t>
  </si>
  <si>
    <t>Email from Craig Jones (Sustain), 121015</t>
  </si>
  <si>
    <t>Density of product</t>
  </si>
  <si>
    <t>Embodied Carbon (kg CO2/unit)</t>
  </si>
  <si>
    <t>Embodied Carbon (Cradle to Gate)</t>
  </si>
  <si>
    <t>m3</t>
  </si>
  <si>
    <t>No recycled content as virgin aggregates used to achieve required colours.  Embodied carbon varies, depending on colour.</t>
  </si>
  <si>
    <t>Eco Hydrokerb</t>
  </si>
  <si>
    <t>Quantity</t>
  </si>
  <si>
    <t>Canopies</t>
  </si>
  <si>
    <t>All dwellings</t>
  </si>
  <si>
    <t xml:space="preserve">Marley Eternit Rivendale </t>
  </si>
  <si>
    <t>Fibre Cement Slate Tile</t>
  </si>
  <si>
    <t>Marley Eternit</t>
  </si>
  <si>
    <t>BES 6001
ISO 14001
ISO 9001</t>
  </si>
  <si>
    <t>Storm King Flat Top Lead</t>
  </si>
  <si>
    <t>Concrete Edging</t>
  </si>
  <si>
    <t>Specification or alternative option</t>
  </si>
  <si>
    <t>Specification</t>
  </si>
  <si>
    <t>Energy Centre Road</t>
  </si>
  <si>
    <t>River Corridor NEAP</t>
  </si>
  <si>
    <t>Footpaths</t>
  </si>
  <si>
    <t>Spine Road, Offsite 278 Works, Traffic Islands and Cycleways</t>
  </si>
  <si>
    <t>Access to Ponds</t>
  </si>
  <si>
    <t>Charcon Andover Textured Infilta Paving</t>
  </si>
  <si>
    <t>ISO 14001
ISO 9001
BES 6001</t>
  </si>
  <si>
    <t>Charcon Woburn Rumbled Paving</t>
  </si>
  <si>
    <t>Email from Damian Finnie (Hanson) 121018</t>
  </si>
  <si>
    <t>Charcon</t>
  </si>
  <si>
    <t>Based on Precast PAV1 from ICE Database</t>
  </si>
  <si>
    <t>External Wall Finishes</t>
  </si>
  <si>
    <t>Based on the Hydrokerb in the Eco mix</t>
  </si>
  <si>
    <t>Email from Peter Taft (Aggregate), 121121</t>
  </si>
  <si>
    <t>Email from Jon Brummitt (Bekstone), 111101</t>
  </si>
  <si>
    <t>Email from Chris Gardner (Brickability), 111026</t>
  </si>
  <si>
    <t>Email from Mark Watson (Marley) 121204</t>
  </si>
  <si>
    <t>Supplier</t>
  </si>
  <si>
    <t>Manufacturer</t>
  </si>
  <si>
    <t>Brickability</t>
  </si>
  <si>
    <t>Measham, DE12 7EL</t>
  </si>
  <si>
    <t>73 miles</t>
  </si>
  <si>
    <t>Bedfordshire, MK45 5BY</t>
  </si>
  <si>
    <t>37 miles</t>
  </si>
  <si>
    <t>Ireland, BT40 2TJ</t>
  </si>
  <si>
    <t>406 miles</t>
  </si>
  <si>
    <t>Jewsons</t>
  </si>
  <si>
    <t>Cheshire, WA8 9N</t>
  </si>
  <si>
    <t>69 miles</t>
  </si>
  <si>
    <t>Redland</t>
  </si>
  <si>
    <t>Gwent, NP23 5SD</t>
  </si>
  <si>
    <t>140 miles</t>
  </si>
  <si>
    <t>Manufacturer Factory Location</t>
  </si>
  <si>
    <t>Leighton Buzzard (Quarry) LU7 4RU</t>
  </si>
  <si>
    <t>Rockbeare (Quarry) EX5 2HB</t>
  </si>
  <si>
    <t>165 miles</t>
  </si>
  <si>
    <t>China Import</t>
  </si>
  <si>
    <t>~5000 miles</t>
  </si>
  <si>
    <t>47 miles</t>
  </si>
  <si>
    <t>Sandy (Quarry), SG19 1QY</t>
  </si>
  <si>
    <t>Proposed product:
• Has been requested by planning/client
• Alternative materials have been suggested</t>
  </si>
  <si>
    <t>Proposed product:
• Has been requested by planning/client
• Alternative materials have been suggested
• Has lower embodied carbon than blocks</t>
  </si>
  <si>
    <t>Proposed product:
• Is local to the site
• Has slightly higher embodied carbon than Marshalls but additional Charcon materials are proposed for the site from the same quarry which could aid haulage</t>
  </si>
  <si>
    <t>Proposed product:
• Has been specified by the Engineer</t>
  </si>
  <si>
    <t>Proposed product:
• Has been requested by planning/client
• Mixture of colours is required to achieve desired aesthetics</t>
  </si>
  <si>
    <t>Proposed product:
• Utilises trees felled on site</t>
  </si>
  <si>
    <t>Proposed product:
• Is being reviewed to determine if an alternative mixture could be used.  This is dependent on the Engineer / Warranty provider.</t>
  </si>
  <si>
    <t xml:space="preserve">Proposed product:
• Has been requested by planners 
• Area of product has been reduced and limited to the spine road
• Has a good recycled content. </t>
  </si>
  <si>
    <t>Proposed product:
• Is much cheaper than the alternative renders
• Location of K-rend is where the quarry and factory is, whereas the Weber location is just where the factory is based.</t>
  </si>
  <si>
    <t>Proposed product:
• Is very local to the site
• Is quarried locally to help enhance the character of the development</t>
  </si>
  <si>
    <t>Proposed product:
• Is local to the site
• Has lower embodied carbon than that alternative proposed product</t>
  </si>
  <si>
    <t>0.69kg/block</t>
  </si>
  <si>
    <t>0.80kg/block</t>
  </si>
  <si>
    <t>Email from Peter Taft (Aggregate), 120821 &amp; 120905 (based on a classic wide top kerb)</t>
  </si>
  <si>
    <t>1 brick = 2.299999 kg</t>
  </si>
  <si>
    <t>1 brick - 2.35 kg</t>
  </si>
  <si>
    <t>6.4 kg/block</t>
  </si>
  <si>
    <t>18.8 kg/block</t>
  </si>
  <si>
    <t>Proposed product:
• Can be sourced local to the site
• Hanson advised using thermalite may require reinforced screed, thus increasing emboided carbon</t>
  </si>
  <si>
    <t>Typical density of concrete - 2300 kg/m3 (Brooklyn Public Library Files; 1999)</t>
  </si>
  <si>
    <t>'Typical density of concrete - 2300 kg/m3 (Brooklyn Public Library Files; 1999)</t>
  </si>
  <si>
    <t>Paving Slabs - 80mm Standard Concrete slabs</t>
  </si>
  <si>
    <t>150mm Insitu concrete (Gen 3)</t>
  </si>
  <si>
    <t>Paving Slabs - 60mm Standard Concrete slabs</t>
  </si>
  <si>
    <t>Green Lanes</t>
  </si>
  <si>
    <t xml:space="preserve">No recycled content as virgin aggregates used to achieve required colours. </t>
  </si>
  <si>
    <t>Details are of an example manufacturer. Manufacturer to be confirmed when order is placed.</t>
  </si>
  <si>
    <t>Further details will be available when subcontractor order is placed.</t>
  </si>
  <si>
    <t>Recycled content from the blast furnace slag. Further details will be available when subcontractor order is placed.</t>
  </si>
  <si>
    <t>There is more timber in a closed panel system and so overall the embodied carbon is lower. Details are of an example manufacturer. Manufacturer to be confirmed when order is placed.</t>
  </si>
  <si>
    <t>30mm SMA 10 Surf 40/60</t>
  </si>
  <si>
    <t>40mm HRA 30/14F 40/60</t>
  </si>
  <si>
    <t>30mm SMA 10 Surf 100/150</t>
  </si>
  <si>
    <t>65 kgCO2/tonne</t>
  </si>
  <si>
    <t>68 kgCO2/tonne</t>
  </si>
  <si>
    <t>70 kgCO2/tonne</t>
  </si>
  <si>
    <t>12.97m2 per tonne</t>
  </si>
  <si>
    <t>9.92m2 per tonne</t>
  </si>
  <si>
    <t>BS 9001
BS 14001
OHSAS 18001
Member of the ETI</t>
  </si>
  <si>
    <t>B to A</t>
  </si>
  <si>
    <t>Manufacturer to be confirmed when order is placed.</t>
  </si>
  <si>
    <t>Based on Classic wide top (914x205x290mm)</t>
  </si>
  <si>
    <t>Proposed product:
• Has similar embodied carbon than the EcoKerb
• Will be used on all areas, except the spine road
• As PCC kerbs are widely available, local manufacturers will be utilised where possible</t>
  </si>
  <si>
    <t>1 block = 125kg</t>
  </si>
  <si>
    <t>1 block = 15kg</t>
  </si>
  <si>
    <t>Based on the Eding in the Eco mix (914x150x50mm)</t>
  </si>
  <si>
    <t>18.4 blocks per m3</t>
  </si>
  <si>
    <t>145.9 blocks per m3</t>
  </si>
  <si>
    <t>Gen 1 concrete, 25% BFS</t>
  </si>
  <si>
    <t>Varies</t>
  </si>
  <si>
    <t>BES 6001
ISO 14001</t>
  </si>
  <si>
    <t>Oxford, OX14 4UB</t>
  </si>
  <si>
    <t>200mm Precast concrete (RC 40/50 MPa)</t>
  </si>
  <si>
    <t>85-90kg/m2</t>
  </si>
  <si>
    <t>55.8 blocks per m2, each block = 3.1 kg</t>
  </si>
  <si>
    <t xml:space="preserve">20.9 kg/m2 </t>
  </si>
  <si>
    <t>17 kg/m2</t>
  </si>
  <si>
    <t>450kg/m3</t>
  </si>
  <si>
    <t>Email from Andrew Pitman (Trada), 111101</t>
  </si>
  <si>
    <t>Windows (frame, not glass)</t>
  </si>
  <si>
    <t xml:space="preserve">Email from Mike Stevenson (Sidey), 121003. </t>
  </si>
  <si>
    <t>Proposed product:
• Has been specified by the Engineer (SMA 40/60)
• Has a lower embodied carbon than HRA</t>
  </si>
  <si>
    <t>Further details will be availbale when subcontractor order is placed.</t>
  </si>
  <si>
    <t>TBC</t>
  </si>
  <si>
    <t>Details are from an example manufacturer. Manufacturer to be confirmed when subcontractor order is placed.</t>
  </si>
  <si>
    <t>Based on a RC 40/50 MPa mixture, 914x205x290mm. Details are from an example manufacturer. Manufacturer to be confirmed when subcontractor order is placed.</t>
  </si>
  <si>
    <t>Based on a RC 40/50 MPa mixture, 914x150x50mm. Details are from an example manufacturer. Manufacturer to be confirmed when subcontractor order is placed.</t>
  </si>
  <si>
    <t>Embodied carbon varies depending on strength of block. Details are from an example manufacturer. Manufacturer to be confirmed when subcontractor order is placed.</t>
  </si>
  <si>
    <t>Information based on expanded polystyrene. Details are from an example manufacturer. Manufacturer to be confirmed when subcontractor order is placed.</t>
  </si>
  <si>
    <t>Information based on a dense evalast solid 7n block. Details are from an example manufacturer. Manufacturer to be confirmed when subcontractor order is placed.</t>
  </si>
  <si>
    <t>No chemial coating to prevent wrot or movement. Details are from an example manufacturer. Manufacturer to be confirmed when subcontractor order is placed.</t>
  </si>
  <si>
    <t>20 meters of uPVC profile (average window frame) generates 6kg of carbon. Details are from an example manufacturer. Manufacturer to be confirmed when subcontractor order is placed.</t>
  </si>
  <si>
    <t>FOUNDATIONS</t>
  </si>
  <si>
    <t>Spine Road, Energy Centre Raod, Service Yard and Offsite 278 Works</t>
  </si>
  <si>
    <t>Marshalls Tegula Priora Paving</t>
  </si>
  <si>
    <t>Charcon Woburn Rumbled Infilta Paving</t>
  </si>
  <si>
    <t>Timber - Closed Panel</t>
  </si>
  <si>
    <t>Proposed product:
• Has the lowest embodied carbon
• Closed panel system reduces the man hours required on site</t>
  </si>
  <si>
    <t>Proposed product:
• Has very low embodied carbon</t>
  </si>
  <si>
    <t>Community Streets</t>
  </si>
  <si>
    <t>Charcon  Infilta Paving</t>
  </si>
  <si>
    <t>ISO 14001
ISO 9001
BES 6002</t>
  </si>
  <si>
    <t xml:space="preserve">Proposed product:
• Is local to the site
• Has a much lower embodied carbon than the quivilent marshalls block </t>
  </si>
  <si>
    <t>30mm SMA 10mm Mastertint - Buff</t>
  </si>
  <si>
    <t>25mm SMA 6mm Mastertint - White</t>
  </si>
  <si>
    <t>Dwelling Door Mats</t>
  </si>
  <si>
    <t>Charcon Andover Textured Paving</t>
  </si>
  <si>
    <t>Marshalls Mistral Paving</t>
  </si>
  <si>
    <t>Community Streets Block 1 - Permeable</t>
  </si>
  <si>
    <t>Community Streets Block 2 - Permeable</t>
  </si>
  <si>
    <t>Community Streets Block 2 - Impermeable</t>
  </si>
  <si>
    <t>Entrance to Community Streets</t>
  </si>
  <si>
    <t>Charcon Granite Sett Paving</t>
  </si>
  <si>
    <t>Proposed product:
• Has similar embodied carbon than the EcoKerb
• As PCC kerbs are widely available, local manufacturers will be utilised where possible</t>
  </si>
  <si>
    <t>Total Emboided Carbon Over Phase 1 (kg)</t>
  </si>
  <si>
    <t>Total Emboided Carbon Over Infrastructure Phase (kg)</t>
  </si>
  <si>
    <t>All dwellings and integral garages - Insulation</t>
  </si>
  <si>
    <t>All dwellings and integral garages - Finishing</t>
  </si>
  <si>
    <t>Celotex</t>
  </si>
  <si>
    <t>Jabfloor</t>
  </si>
  <si>
    <t>Expanded Polystyrene - 160mm</t>
  </si>
  <si>
    <t>Kingspan</t>
  </si>
  <si>
    <t>Embodied carbon based on Thermawall TW55 from sustain report, November 2011</t>
  </si>
  <si>
    <t>Rigid PIR Insulation - 110mm</t>
  </si>
  <si>
    <t>Rigid PIR Insulation - 90mm</t>
  </si>
  <si>
    <t>Celotex XR4000 (0.15 u value)</t>
  </si>
  <si>
    <t>Jabfloor Classic 100 (0.15 u value)</t>
  </si>
  <si>
    <t>Jabfloor Premium 70 (0.13 u value)</t>
  </si>
  <si>
    <t>Kingspan Kooltherm K3 
(0.15 u value)</t>
  </si>
  <si>
    <t>Screed</t>
  </si>
  <si>
    <t>Junction with Community Streets</t>
  </si>
  <si>
    <t>ISO14001</t>
  </si>
  <si>
    <t>Embodied carbon based on Thermawall TW55 from sustain report, November 2011. Email from Richard Gifford (Celotex) 130404</t>
  </si>
  <si>
    <t>Charcon Stratford Infilta Paving</t>
  </si>
  <si>
    <t>Charcon Stratford Paving</t>
  </si>
  <si>
    <t>Parking Courts / Parking Spaces</t>
  </si>
  <si>
    <t>Decision Process</t>
  </si>
  <si>
    <t>Hoggin</t>
  </si>
  <si>
    <t>Naturally Bound Gravel</t>
  </si>
  <si>
    <t>25mm SMA 10mm Mastertint - White</t>
  </si>
  <si>
    <t>River Corridor and Neap</t>
  </si>
  <si>
    <t>New Carriageway, Footpaths, Cycleways, Bridge and  Neap</t>
  </si>
  <si>
    <t>Timber Edging</t>
  </si>
  <si>
    <t>Proposed product:
• Is local to the site
• Has a much lower embodied carbon than the quivilent marshalls block (mistral priora)
• Charcon Andover block was not accepted by the client, due to the colours</t>
  </si>
  <si>
    <t>Proposed product:
• Is local to the site
• Has a much lower embodied carbon than the quivilent marshalls block (mistral priora)
• Charcon Andover block was not accepted by the A2D/Hyder, due to the colours available</t>
  </si>
  <si>
    <t>Proposed product:
• Is local to the site
• Has been accepted by the client
• Charcon Andover block was not accepted by the A2D/Hyder, due to the colours available</t>
  </si>
  <si>
    <t>No.</t>
  </si>
  <si>
    <t>Recycled Polymer</t>
  </si>
  <si>
    <t>Russell Roof Tiles</t>
  </si>
  <si>
    <t>Envirotile</t>
  </si>
  <si>
    <t>Sutton-In–Ashfield, Nottinghamshire</t>
  </si>
  <si>
    <t>100 miles</t>
  </si>
  <si>
    <t>Bradstone Conservation Tile</t>
  </si>
  <si>
    <t>Hide</t>
  </si>
  <si>
    <t>90kg / m2</t>
  </si>
  <si>
    <t>Hardrow Tile</t>
  </si>
  <si>
    <t>Forticrete</t>
  </si>
  <si>
    <t>83-87kg /m2</t>
  </si>
  <si>
    <t>Staffordshire, DE13 0BP</t>
  </si>
  <si>
    <t>85 miles</t>
  </si>
  <si>
    <t>Embodied carbon based on ICE database and email from Mirandar Doerr (Forticrete) stating percentages</t>
  </si>
  <si>
    <t>Swindon, SN6 6QZ</t>
  </si>
  <si>
    <t>49 miles</t>
  </si>
  <si>
    <t>Proposed product:
• Is very local to the site
• Is quarried locally to help enhance the character of the development
NO LONGER AVAILABLE</t>
  </si>
  <si>
    <t>Rationel</t>
  </si>
  <si>
    <t>Swarożyn, Poland</t>
  </si>
  <si>
    <t>1075 miles</t>
  </si>
  <si>
    <t>Aura Timber Windows</t>
  </si>
  <si>
    <t>Aura Plus Timber Windows</t>
  </si>
  <si>
    <t>B</t>
  </si>
  <si>
    <t>Freshfield Lane</t>
  </si>
  <si>
    <t>West Sussex, RH16</t>
  </si>
  <si>
    <t>103 miles</t>
  </si>
  <si>
    <t>Not known</t>
  </si>
  <si>
    <t>https://www.diydata.com/general_building/brick_calculator/brick_calculator.php https://forterra.co.uk/plugins/downloads/files/Forterra_brick_guide_04_2017.pdf Brick weight assumed as 2.35kg per brick, embodied carbon factor for general/ common brick from ICE 2.0 database, 60 bricks per m2 wall area.</t>
  </si>
  <si>
    <t>Brick - Freshfield Lane Selected Dark</t>
  </si>
  <si>
    <t>Brick - Crest Cardinal Red Multi</t>
  </si>
  <si>
    <t>Crest</t>
  </si>
  <si>
    <t>East Yorkshire DN14</t>
  </si>
  <si>
    <t>134 miles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</si>
</sst>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;;;"/>
    <numFmt numFmtId="170" formatCode="0.000"/>
    <numFmt numFmtId="171" formatCode="0.0000"/>
    <numFmt numFmtId="172" formatCode="0.0%"/>
    <numFmt numFmtId="173" formatCode="0.000000000"/>
    <numFmt numFmtId="174" formatCode="0.00000"/>
    <numFmt numFmtId="175" formatCode="0.000000"/>
    <numFmt numFmtId="176" formatCode="0.0000000"/>
    <numFmt numFmtId="177" formatCode="mmm\-yyyy"/>
    <numFmt numFmtId="178" formatCode="0.00000000"/>
    <numFmt numFmtId="179" formatCode="&quot;£&quot;#,##0"/>
    <numFmt numFmtId="180" formatCode="_-* #,##0.0_-;\-* #,##0.0_-;_-* &quot;-&quot;??_-;_-@_-"/>
    <numFmt numFmtId="181" formatCode="_-* #,##0_-;\-* #,##0_-;_-* &quot;-&quot;??_-;_-@_-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0.00000000000000000"/>
    <numFmt numFmtId="190" formatCode="0.000000000000000000"/>
    <numFmt numFmtId="191" formatCode="0.0000000000000000000"/>
    <numFmt numFmtId="192" formatCode="0.000E+00"/>
    <numFmt numFmtId="193" formatCode="0.0000E+00"/>
    <numFmt numFmtId="194" formatCode="0.00000E+00"/>
    <numFmt numFmtId="195" formatCode="0.000000E+00"/>
    <numFmt numFmtId="196" formatCode="[$-809]dd\ mmmm\ yyyy"/>
    <numFmt numFmtId="197" formatCode="#,##0.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0"/>
      <name val="Verdana"/>
      <family val="2"/>
    </font>
    <font>
      <u val="single"/>
      <sz val="10"/>
      <color indexed="12"/>
      <name val="Verdana"/>
      <family val="2"/>
    </font>
    <font>
      <b/>
      <sz val="9"/>
      <name val="Verdan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Continuous" vertical="center" wrapText="1"/>
    </xf>
    <xf numFmtId="0" fontId="24" fillId="24" borderId="1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 wrapText="1"/>
    </xf>
    <xf numFmtId="0" fontId="23" fillId="25" borderId="13" xfId="0" applyFont="1" applyFill="1" applyBorder="1" applyAlignment="1">
      <alignment horizontal="center" vertical="center" wrapText="1"/>
    </xf>
    <xf numFmtId="0" fontId="25" fillId="25" borderId="13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 quotePrefix="1">
      <alignment horizontal="center" vertical="center" wrapText="1"/>
    </xf>
    <xf numFmtId="0" fontId="23" fillId="0" borderId="13" xfId="0" applyFont="1" applyBorder="1" applyAlignment="1">
      <alignment vertical="center" wrapText="1"/>
    </xf>
    <xf numFmtId="0" fontId="23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23" fillId="24" borderId="13" xfId="53" applyFont="1" applyFill="1" applyBorder="1" applyAlignment="1" applyProtection="1">
      <alignment horizontal="centerContinuous" vertical="center" wrapText="1"/>
      <protection/>
    </xf>
    <xf numFmtId="0" fontId="23" fillId="0" borderId="13" xfId="53" applyFont="1" applyFill="1" applyBorder="1" applyAlignment="1" applyProtection="1">
      <alignment horizontal="centerContinuous" vertical="center" wrapText="1"/>
      <protection/>
    </xf>
    <xf numFmtId="0" fontId="23" fillId="0" borderId="11" xfId="53" applyFont="1" applyFill="1" applyBorder="1" applyAlignment="1" applyProtection="1">
      <alignment horizontal="centerContinuous" vertical="center" wrapText="1"/>
      <protection/>
    </xf>
    <xf numFmtId="0" fontId="23" fillId="25" borderId="11" xfId="0" applyFont="1" applyFill="1" applyBorder="1" applyAlignment="1">
      <alignment horizontal="center" vertical="center" wrapText="1"/>
    </xf>
    <xf numFmtId="0" fontId="25" fillId="25" borderId="11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197" fontId="23" fillId="0" borderId="0" xfId="0" applyNumberFormat="1" applyFont="1" applyAlignment="1">
      <alignment horizontal="center" vertical="center" wrapText="1"/>
    </xf>
    <xf numFmtId="197" fontId="23" fillId="0" borderId="13" xfId="0" applyNumberFormat="1" applyFont="1" applyFill="1" applyBorder="1" applyAlignment="1">
      <alignment horizontal="center" vertical="center" wrapText="1"/>
    </xf>
    <xf numFmtId="197" fontId="23" fillId="24" borderId="14" xfId="0" applyNumberFormat="1" applyFont="1" applyFill="1" applyBorder="1" applyAlignment="1">
      <alignment horizontal="center" vertical="center" wrapText="1"/>
    </xf>
    <xf numFmtId="197" fontId="25" fillId="0" borderId="12" xfId="0" applyNumberFormat="1" applyFont="1" applyFill="1" applyBorder="1" applyAlignment="1">
      <alignment horizontal="center" vertical="center" wrapText="1"/>
    </xf>
    <xf numFmtId="197" fontId="25" fillId="0" borderId="13" xfId="0" applyNumberFormat="1" applyFont="1" applyFill="1" applyBorder="1" applyAlignment="1">
      <alignment horizontal="center" vertical="center" wrapText="1"/>
    </xf>
    <xf numFmtId="197" fontId="23" fillId="25" borderId="13" xfId="0" applyNumberFormat="1" applyFont="1" applyFill="1" applyBorder="1" applyAlignment="1">
      <alignment horizontal="center" vertical="center" wrapText="1"/>
    </xf>
    <xf numFmtId="197" fontId="23" fillId="25" borderId="11" xfId="0" applyNumberFormat="1" applyFont="1" applyFill="1" applyBorder="1" applyAlignment="1">
      <alignment horizontal="center" vertical="center" wrapText="1"/>
    </xf>
    <xf numFmtId="197" fontId="23" fillId="0" borderId="13" xfId="0" applyNumberFormat="1" applyFont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left" vertical="center"/>
    </xf>
    <xf numFmtId="0" fontId="24" fillId="24" borderId="17" xfId="0" applyFont="1" applyFill="1" applyBorder="1" applyAlignment="1">
      <alignment horizontal="center" vertical="center" wrapText="1"/>
    </xf>
    <xf numFmtId="197" fontId="24" fillId="24" borderId="17" xfId="0" applyNumberFormat="1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left" vertical="center"/>
    </xf>
    <xf numFmtId="0" fontId="24" fillId="24" borderId="0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 vertical="center" wrapText="1"/>
    </xf>
    <xf numFmtId="197" fontId="23" fillId="24" borderId="0" xfId="0" applyNumberFormat="1" applyFont="1" applyFill="1" applyBorder="1" applyAlignment="1">
      <alignment horizontal="center" vertical="center" wrapText="1"/>
    </xf>
    <xf numFmtId="0" fontId="23" fillId="24" borderId="20" xfId="53" applyFont="1" applyFill="1" applyBorder="1" applyAlignment="1" applyProtection="1">
      <alignment horizontal="centerContinuous" vertical="center" wrapText="1"/>
      <protection/>
    </xf>
    <xf numFmtId="0" fontId="24" fillId="24" borderId="21" xfId="0" applyFont="1" applyFill="1" applyBorder="1" applyAlignment="1">
      <alignment horizontal="left" vertical="center"/>
    </xf>
    <xf numFmtId="0" fontId="24" fillId="24" borderId="22" xfId="0" applyFont="1" applyFill="1" applyBorder="1" applyAlignment="1">
      <alignment horizontal="center" vertical="center" wrapText="1"/>
    </xf>
    <xf numFmtId="197" fontId="24" fillId="24" borderId="0" xfId="0" applyNumberFormat="1" applyFont="1" applyFill="1" applyBorder="1" applyAlignment="1">
      <alignment horizontal="center" vertical="center" wrapText="1"/>
    </xf>
    <xf numFmtId="0" fontId="26" fillId="24" borderId="20" xfId="53" applyFont="1" applyFill="1" applyBorder="1" applyAlignment="1" applyProtection="1">
      <alignment horizontal="center" vertical="center"/>
      <protection/>
    </xf>
    <xf numFmtId="197" fontId="24" fillId="24" borderId="22" xfId="0" applyNumberFormat="1" applyFont="1" applyFill="1" applyBorder="1" applyAlignment="1">
      <alignment horizontal="center" vertical="center" wrapText="1"/>
    </xf>
    <xf numFmtId="0" fontId="24" fillId="24" borderId="23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197" fontId="23" fillId="0" borderId="24" xfId="0" applyNumberFormat="1" applyFont="1" applyFill="1" applyBorder="1" applyAlignment="1">
      <alignment horizontal="center" vertical="center" wrapText="1"/>
    </xf>
    <xf numFmtId="9" fontId="23" fillId="0" borderId="24" xfId="0" applyNumberFormat="1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3" fillId="0" borderId="25" xfId="53" applyFont="1" applyFill="1" applyBorder="1" applyAlignment="1" applyProtection="1">
      <alignment horizontal="centerContinuous" vertical="center" wrapText="1"/>
      <protection/>
    </xf>
    <xf numFmtId="0" fontId="23" fillId="0" borderId="26" xfId="0" applyFont="1" applyFill="1" applyBorder="1" applyAlignment="1">
      <alignment horizontal="center" vertical="center" wrapText="1"/>
    </xf>
    <xf numFmtId="197" fontId="23" fillId="0" borderId="26" xfId="0" applyNumberFormat="1" applyFont="1" applyFill="1" applyBorder="1" applyAlignment="1">
      <alignment horizontal="center" vertical="center" wrapText="1"/>
    </xf>
    <xf numFmtId="9" fontId="23" fillId="0" borderId="26" xfId="0" applyNumberFormat="1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 quotePrefix="1">
      <alignment horizontal="center" vertical="center" wrapText="1"/>
    </xf>
    <xf numFmtId="197" fontId="23" fillId="0" borderId="28" xfId="0" applyNumberFormat="1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3" fillId="0" borderId="29" xfId="53" applyFont="1" applyFill="1" applyBorder="1" applyAlignment="1" applyProtection="1">
      <alignment horizontal="centerContinuous" vertical="center" wrapText="1"/>
      <protection/>
    </xf>
    <xf numFmtId="9" fontId="23" fillId="0" borderId="28" xfId="0" applyNumberFormat="1" applyFont="1" applyFill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4" xfId="0" applyFont="1" applyBorder="1" applyAlignment="1" quotePrefix="1">
      <alignment horizontal="center" vertical="center" wrapText="1"/>
    </xf>
    <xf numFmtId="197" fontId="23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197" fontId="23" fillId="0" borderId="26" xfId="0" applyNumberFormat="1" applyFont="1" applyBorder="1" applyAlignment="1">
      <alignment horizontal="center" vertical="center" wrapText="1"/>
    </xf>
    <xf numFmtId="9" fontId="23" fillId="0" borderId="26" xfId="0" applyNumberFormat="1" applyFont="1" applyBorder="1" applyAlignment="1">
      <alignment horizontal="center" vertical="center" wrapText="1"/>
    </xf>
    <xf numFmtId="0" fontId="23" fillId="0" borderId="24" xfId="0" applyFont="1" applyBorder="1" applyAlignment="1">
      <alignment vertical="center" wrapText="1"/>
    </xf>
    <xf numFmtId="9" fontId="23" fillId="0" borderId="24" xfId="0" applyNumberFormat="1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8" xfId="0" applyFont="1" applyBorder="1" applyAlignment="1">
      <alignment vertical="center" wrapText="1"/>
    </xf>
    <xf numFmtId="197" fontId="23" fillId="0" borderId="28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28" xfId="0" applyFont="1" applyBorder="1" applyAlignment="1" quotePrefix="1">
      <alignment horizontal="center" vertical="center" wrapText="1"/>
    </xf>
    <xf numFmtId="0" fontId="24" fillId="26" borderId="27" xfId="0" applyFont="1" applyFill="1" applyBorder="1" applyAlignment="1">
      <alignment horizontal="center" vertical="center" wrapText="1"/>
    </xf>
    <xf numFmtId="0" fontId="24" fillId="26" borderId="28" xfId="0" applyFont="1" applyFill="1" applyBorder="1" applyAlignment="1">
      <alignment horizontal="center" vertical="center" wrapText="1"/>
    </xf>
    <xf numFmtId="0" fontId="24" fillId="26" borderId="29" xfId="0" applyFont="1" applyFill="1" applyBorder="1" applyAlignment="1">
      <alignment horizontal="centerContinuous" vertical="center" wrapText="1"/>
    </xf>
    <xf numFmtId="170" fontId="23" fillId="0" borderId="0" xfId="0" applyNumberFormat="1" applyFont="1" applyAlignment="1">
      <alignment horizontal="center" vertical="center" wrapText="1"/>
    </xf>
    <xf numFmtId="170" fontId="24" fillId="26" borderId="28" xfId="0" applyNumberFormat="1" applyFont="1" applyFill="1" applyBorder="1" applyAlignment="1">
      <alignment horizontal="center" vertical="center" wrapText="1"/>
    </xf>
    <xf numFmtId="170" fontId="24" fillId="24" borderId="0" xfId="0" applyNumberFormat="1" applyFont="1" applyFill="1" applyBorder="1" applyAlignment="1">
      <alignment horizontal="center" vertical="center" wrapText="1"/>
    </xf>
    <xf numFmtId="170" fontId="23" fillId="0" borderId="24" xfId="0" applyNumberFormat="1" applyFont="1" applyFill="1" applyBorder="1" applyAlignment="1">
      <alignment horizontal="center" vertical="center" wrapText="1"/>
    </xf>
    <xf numFmtId="170" fontId="23" fillId="0" borderId="13" xfId="0" applyNumberFormat="1" applyFont="1" applyFill="1" applyBorder="1" applyAlignment="1">
      <alignment horizontal="center" vertical="center" wrapText="1"/>
    </xf>
    <xf numFmtId="170" fontId="23" fillId="0" borderId="28" xfId="0" applyNumberFormat="1" applyFont="1" applyFill="1" applyBorder="1" applyAlignment="1" quotePrefix="1">
      <alignment horizontal="center" vertical="center" wrapText="1"/>
    </xf>
    <xf numFmtId="170" fontId="23" fillId="0" borderId="28" xfId="0" applyNumberFormat="1" applyFont="1" applyFill="1" applyBorder="1" applyAlignment="1">
      <alignment horizontal="center" vertical="center" wrapText="1"/>
    </xf>
    <xf numFmtId="170" fontId="23" fillId="24" borderId="0" xfId="0" applyNumberFormat="1" applyFont="1" applyFill="1" applyBorder="1" applyAlignment="1">
      <alignment horizontal="center" vertical="center" wrapText="1"/>
    </xf>
    <xf numFmtId="170" fontId="25" fillId="0" borderId="12" xfId="0" applyNumberFormat="1" applyFont="1" applyFill="1" applyBorder="1" applyAlignment="1">
      <alignment horizontal="center" vertical="center" wrapText="1"/>
    </xf>
    <xf numFmtId="170" fontId="25" fillId="0" borderId="13" xfId="0" applyNumberFormat="1" applyFont="1" applyFill="1" applyBorder="1" applyAlignment="1">
      <alignment horizontal="center" vertical="center" wrapText="1"/>
    </xf>
    <xf numFmtId="170" fontId="23" fillId="24" borderId="14" xfId="0" applyNumberFormat="1" applyFont="1" applyFill="1" applyBorder="1" applyAlignment="1">
      <alignment horizontal="center" vertical="center" wrapText="1"/>
    </xf>
    <xf numFmtId="170" fontId="23" fillId="25" borderId="13" xfId="0" applyNumberFormat="1" applyFont="1" applyFill="1" applyBorder="1" applyAlignment="1">
      <alignment horizontal="center" vertical="center" wrapText="1"/>
    </xf>
    <xf numFmtId="170" fontId="23" fillId="25" borderId="11" xfId="0" applyNumberFormat="1" applyFont="1" applyFill="1" applyBorder="1" applyAlignment="1">
      <alignment horizontal="center" vertical="center" wrapText="1"/>
    </xf>
    <xf numFmtId="170" fontId="24" fillId="24" borderId="17" xfId="0" applyNumberFormat="1" applyFont="1" applyFill="1" applyBorder="1" applyAlignment="1">
      <alignment horizontal="center" vertical="center" wrapText="1"/>
    </xf>
    <xf numFmtId="170" fontId="23" fillId="0" borderId="24" xfId="0" applyNumberFormat="1" applyFont="1" applyBorder="1" applyAlignment="1">
      <alignment horizontal="center" vertical="center" wrapText="1"/>
    </xf>
    <xf numFmtId="170" fontId="23" fillId="0" borderId="13" xfId="0" applyNumberFormat="1" applyFont="1" applyBorder="1" applyAlignment="1" quotePrefix="1">
      <alignment horizontal="center" vertical="center" wrapText="1"/>
    </xf>
    <xf numFmtId="170" fontId="23" fillId="0" borderId="13" xfId="0" applyNumberFormat="1" applyFont="1" applyBorder="1" applyAlignment="1">
      <alignment horizontal="center" vertical="center" wrapText="1"/>
    </xf>
    <xf numFmtId="170" fontId="23" fillId="0" borderId="26" xfId="0" applyNumberFormat="1" applyFont="1" applyBorder="1" applyAlignment="1">
      <alignment horizontal="center" vertical="center" wrapText="1"/>
    </xf>
    <xf numFmtId="170" fontId="23" fillId="0" borderId="24" xfId="0" applyNumberFormat="1" applyFont="1" applyBorder="1" applyAlignment="1" quotePrefix="1">
      <alignment horizontal="center" vertical="center" wrapText="1"/>
    </xf>
    <xf numFmtId="170" fontId="23" fillId="0" borderId="28" xfId="0" applyNumberFormat="1" applyFont="1" applyBorder="1" applyAlignment="1">
      <alignment horizontal="center" vertical="center" wrapText="1"/>
    </xf>
    <xf numFmtId="170" fontId="24" fillId="24" borderId="22" xfId="0" applyNumberFormat="1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31" xfId="0" applyFont="1" applyBorder="1" applyAlignment="1">
      <alignment vertical="center" wrapText="1"/>
    </xf>
    <xf numFmtId="170" fontId="23" fillId="0" borderId="31" xfId="0" applyNumberFormat="1" applyFont="1" applyBorder="1" applyAlignment="1">
      <alignment horizontal="center" vertical="center" wrapText="1"/>
    </xf>
    <xf numFmtId="197" fontId="23" fillId="0" borderId="31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vertical="center" wrapText="1"/>
    </xf>
    <xf numFmtId="170" fontId="23" fillId="0" borderId="12" xfId="0" applyNumberFormat="1" applyFont="1" applyBorder="1" applyAlignment="1">
      <alignment horizontal="center" vertical="center" wrapText="1"/>
    </xf>
    <xf numFmtId="197" fontId="23" fillId="0" borderId="12" xfId="0" applyNumberFormat="1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9" fontId="23" fillId="0" borderId="31" xfId="0" applyNumberFormat="1" applyFont="1" applyBorder="1" applyAlignment="1">
      <alignment horizontal="center" vertical="center" wrapText="1"/>
    </xf>
    <xf numFmtId="170" fontId="23" fillId="0" borderId="31" xfId="0" applyNumberFormat="1" applyFont="1" applyFill="1" applyBorder="1" applyAlignment="1">
      <alignment horizontal="center" vertical="center" wrapText="1"/>
    </xf>
    <xf numFmtId="197" fontId="23" fillId="0" borderId="31" xfId="0" applyNumberFormat="1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3" fillId="0" borderId="34" xfId="53" applyFont="1" applyFill="1" applyBorder="1" applyAlignment="1" applyProtection="1">
      <alignment horizontal="centerContinuous" vertical="center" wrapText="1"/>
      <protection/>
    </xf>
    <xf numFmtId="0" fontId="0" fillId="0" borderId="0" xfId="0" applyAlignment="1">
      <alignment wrapText="1"/>
    </xf>
    <xf numFmtId="0" fontId="24" fillId="24" borderId="35" xfId="0" applyFont="1" applyFill="1" applyBorder="1" applyAlignment="1">
      <alignment horizontal="left" vertical="center"/>
    </xf>
    <xf numFmtId="0" fontId="24" fillId="24" borderId="36" xfId="0" applyFont="1" applyFill="1" applyBorder="1" applyAlignment="1">
      <alignment horizontal="center" vertical="center" wrapText="1"/>
    </xf>
    <xf numFmtId="0" fontId="23" fillId="0" borderId="33" xfId="53" applyFont="1" applyFill="1" applyBorder="1" applyAlignment="1" applyProtection="1">
      <alignment horizontal="center" vertical="center" wrapText="1"/>
      <protection/>
    </xf>
    <xf numFmtId="9" fontId="23" fillId="0" borderId="13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Alignment="1">
      <alignment horizontal="center" vertical="center" wrapText="1"/>
    </xf>
    <xf numFmtId="3" fontId="24" fillId="26" borderId="28" xfId="0" applyNumberFormat="1" applyFont="1" applyFill="1" applyBorder="1" applyAlignment="1">
      <alignment horizontal="center" vertical="center" wrapText="1"/>
    </xf>
    <xf numFmtId="3" fontId="23" fillId="0" borderId="28" xfId="0" applyNumberFormat="1" applyFont="1" applyFill="1" applyBorder="1" applyAlignment="1">
      <alignment horizontal="center" vertical="center" wrapText="1"/>
    </xf>
    <xf numFmtId="3" fontId="24" fillId="24" borderId="0" xfId="0" applyNumberFormat="1" applyFont="1" applyFill="1" applyBorder="1" applyAlignment="1">
      <alignment horizontal="center" vertical="center" wrapText="1"/>
    </xf>
    <xf numFmtId="3" fontId="24" fillId="24" borderId="22" xfId="0" applyNumberFormat="1" applyFont="1" applyFill="1" applyBorder="1" applyAlignment="1">
      <alignment horizontal="center" vertical="center" wrapText="1"/>
    </xf>
    <xf numFmtId="3" fontId="23" fillId="0" borderId="12" xfId="0" applyNumberFormat="1" applyFont="1" applyFill="1" applyBorder="1" applyAlignment="1">
      <alignment horizontal="center" vertical="center" wrapText="1"/>
    </xf>
    <xf numFmtId="3" fontId="23" fillId="0" borderId="13" xfId="0" applyNumberFormat="1" applyFont="1" applyFill="1" applyBorder="1" applyAlignment="1">
      <alignment horizontal="center" vertical="center" wrapText="1"/>
    </xf>
    <xf numFmtId="3" fontId="23" fillId="24" borderId="14" xfId="0" applyNumberFormat="1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3" fontId="24" fillId="24" borderId="17" xfId="0" applyNumberFormat="1" applyFont="1" applyFill="1" applyBorder="1" applyAlignment="1">
      <alignment horizontal="center" vertical="center" wrapText="1"/>
    </xf>
    <xf numFmtId="3" fontId="23" fillId="0" borderId="13" xfId="0" applyNumberFormat="1" applyFont="1" applyBorder="1" applyAlignment="1">
      <alignment horizontal="center" vertical="center" wrapText="1"/>
    </xf>
    <xf numFmtId="0" fontId="23" fillId="0" borderId="31" xfId="0" applyFont="1" applyFill="1" applyBorder="1" applyAlignment="1" quotePrefix="1">
      <alignment horizontal="center" vertical="center" wrapText="1"/>
    </xf>
    <xf numFmtId="0" fontId="23" fillId="0" borderId="26" xfId="0" applyFont="1" applyFill="1" applyBorder="1" applyAlignment="1" quotePrefix="1">
      <alignment horizontal="center" vertical="center" wrapText="1"/>
    </xf>
    <xf numFmtId="9" fontId="23" fillId="0" borderId="31" xfId="0" applyNumberFormat="1" applyFont="1" applyFill="1" applyBorder="1" applyAlignment="1">
      <alignment horizontal="center" vertical="center" wrapText="1"/>
    </xf>
    <xf numFmtId="0" fontId="24" fillId="24" borderId="37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170" fontId="23" fillId="25" borderId="12" xfId="0" applyNumberFormat="1" applyFont="1" applyFill="1" applyBorder="1" applyAlignment="1">
      <alignment horizontal="center" vertical="center" wrapText="1"/>
    </xf>
    <xf numFmtId="197" fontId="23" fillId="25" borderId="12" xfId="0" applyNumberFormat="1" applyFont="1" applyFill="1" applyBorder="1" applyAlignment="1">
      <alignment horizontal="center" vertical="center" wrapText="1"/>
    </xf>
    <xf numFmtId="9" fontId="23" fillId="25" borderId="12" xfId="0" applyNumberFormat="1" applyFont="1" applyFill="1" applyBorder="1" applyAlignment="1">
      <alignment horizontal="center" vertical="center" wrapText="1"/>
    </xf>
    <xf numFmtId="0" fontId="23" fillId="25" borderId="26" xfId="0" applyFont="1" applyFill="1" applyBorder="1" applyAlignment="1">
      <alignment horizontal="center" vertical="center" wrapText="1"/>
    </xf>
    <xf numFmtId="170" fontId="23" fillId="25" borderId="26" xfId="0" applyNumberFormat="1" applyFont="1" applyFill="1" applyBorder="1" applyAlignment="1">
      <alignment horizontal="center" vertical="center" wrapText="1"/>
    </xf>
    <xf numFmtId="197" fontId="23" fillId="25" borderId="26" xfId="0" applyNumberFormat="1" applyFont="1" applyFill="1" applyBorder="1" applyAlignment="1">
      <alignment horizontal="center" vertical="center" wrapText="1"/>
    </xf>
    <xf numFmtId="0" fontId="23" fillId="25" borderId="24" xfId="0" applyFont="1" applyFill="1" applyBorder="1" applyAlignment="1">
      <alignment horizontal="center" vertical="center" wrapText="1"/>
    </xf>
    <xf numFmtId="170" fontId="23" fillId="25" borderId="24" xfId="0" applyNumberFormat="1" applyFont="1" applyFill="1" applyBorder="1" applyAlignment="1">
      <alignment horizontal="center" vertical="center" wrapText="1"/>
    </xf>
    <xf numFmtId="197" fontId="23" fillId="25" borderId="24" xfId="0" applyNumberFormat="1" applyFont="1" applyFill="1" applyBorder="1" applyAlignment="1">
      <alignment horizontal="center" vertical="center" wrapText="1"/>
    </xf>
    <xf numFmtId="0" fontId="25" fillId="25" borderId="24" xfId="0" applyFont="1" applyFill="1" applyBorder="1" applyAlignment="1">
      <alignment horizontal="center" vertical="center" wrapText="1"/>
    </xf>
    <xf numFmtId="0" fontId="23" fillId="25" borderId="25" xfId="53" applyFont="1" applyFill="1" applyBorder="1" applyAlignment="1" applyProtection="1">
      <alignment horizontal="centerContinuous" vertical="center" wrapText="1"/>
      <protection/>
    </xf>
    <xf numFmtId="9" fontId="23" fillId="25" borderId="13" xfId="0" applyNumberFormat="1" applyFont="1" applyFill="1" applyBorder="1" applyAlignment="1">
      <alignment horizontal="center" vertical="center" wrapText="1"/>
    </xf>
    <xf numFmtId="0" fontId="23" fillId="25" borderId="13" xfId="0" applyFont="1" applyFill="1" applyBorder="1" applyAlignment="1" quotePrefix="1">
      <alignment horizontal="center" vertical="center" wrapText="1"/>
    </xf>
    <xf numFmtId="0" fontId="23" fillId="25" borderId="30" xfId="53" applyFont="1" applyFill="1" applyBorder="1" applyAlignment="1" applyProtection="1">
      <alignment horizontal="centerContinuous" vertical="center" wrapText="1"/>
      <protection/>
    </xf>
    <xf numFmtId="0" fontId="25" fillId="25" borderId="12" xfId="0" applyFont="1" applyFill="1" applyBorder="1" applyAlignment="1">
      <alignment horizontal="center" vertical="center" wrapText="1"/>
    </xf>
    <xf numFmtId="0" fontId="23" fillId="25" borderId="15" xfId="0" applyFont="1" applyFill="1" applyBorder="1" applyAlignment="1">
      <alignment horizontal="center" vertical="center" wrapText="1"/>
    </xf>
    <xf numFmtId="170" fontId="23" fillId="25" borderId="15" xfId="0" applyNumberFormat="1" applyFont="1" applyFill="1" applyBorder="1" applyAlignment="1">
      <alignment horizontal="center" vertical="center" wrapText="1"/>
    </xf>
    <xf numFmtId="197" fontId="23" fillId="25" borderId="15" xfId="0" applyNumberFormat="1" applyFont="1" applyFill="1" applyBorder="1" applyAlignment="1">
      <alignment horizontal="center" vertical="center" wrapText="1"/>
    </xf>
    <xf numFmtId="9" fontId="23" fillId="25" borderId="15" xfId="0" applyNumberFormat="1" applyFont="1" applyFill="1" applyBorder="1" applyAlignment="1">
      <alignment horizontal="center" vertical="center" wrapText="1"/>
    </xf>
    <xf numFmtId="0" fontId="23" fillId="25" borderId="15" xfId="0" applyFont="1" applyFill="1" applyBorder="1" applyAlignment="1" quotePrefix="1">
      <alignment horizontal="center" vertical="center" wrapText="1"/>
    </xf>
    <xf numFmtId="0" fontId="25" fillId="25" borderId="15" xfId="0" applyFont="1" applyFill="1" applyBorder="1" applyAlignment="1">
      <alignment horizontal="center" vertical="center" wrapText="1"/>
    </xf>
    <xf numFmtId="0" fontId="23" fillId="25" borderId="38" xfId="53" applyFont="1" applyFill="1" applyBorder="1" applyAlignment="1" applyProtection="1">
      <alignment horizontal="centerContinuous" vertical="center" wrapText="1"/>
      <protection/>
    </xf>
    <xf numFmtId="9" fontId="23" fillId="25" borderId="26" xfId="0" applyNumberFormat="1" applyFont="1" applyFill="1" applyBorder="1" applyAlignment="1">
      <alignment horizontal="center" vertical="center" wrapText="1"/>
    </xf>
    <xf numFmtId="170" fontId="23" fillId="25" borderId="13" xfId="0" applyNumberFormat="1" applyFont="1" applyFill="1" applyBorder="1" applyAlignment="1" quotePrefix="1">
      <alignment horizontal="center" vertical="center" wrapText="1"/>
    </xf>
    <xf numFmtId="0" fontId="23" fillId="25" borderId="30" xfId="0" applyFont="1" applyFill="1" applyBorder="1" applyAlignment="1">
      <alignment horizontal="center" vertical="center" wrapText="1"/>
    </xf>
    <xf numFmtId="0" fontId="23" fillId="25" borderId="13" xfId="0" applyFont="1" applyFill="1" applyBorder="1" applyAlignment="1">
      <alignment vertical="center" wrapText="1"/>
    </xf>
    <xf numFmtId="0" fontId="23" fillId="25" borderId="26" xfId="0" applyFont="1" applyFill="1" applyBorder="1" applyAlignment="1">
      <alignment vertical="center" wrapText="1"/>
    </xf>
    <xf numFmtId="0" fontId="23" fillId="25" borderId="26" xfId="0" applyFont="1" applyFill="1" applyBorder="1" applyAlignment="1" quotePrefix="1">
      <alignment horizontal="center" vertical="center" wrapText="1"/>
    </xf>
    <xf numFmtId="170" fontId="23" fillId="25" borderId="26" xfId="0" applyNumberFormat="1" applyFont="1" applyFill="1" applyBorder="1" applyAlignment="1" quotePrefix="1">
      <alignment horizontal="center" vertical="center" wrapText="1"/>
    </xf>
    <xf numFmtId="0" fontId="23" fillId="25" borderId="39" xfId="0" applyFont="1" applyFill="1" applyBorder="1" applyAlignment="1">
      <alignment horizontal="center" vertical="center" wrapText="1"/>
    </xf>
    <xf numFmtId="0" fontId="23" fillId="25" borderId="24" xfId="0" applyFont="1" applyFill="1" applyBorder="1" applyAlignment="1">
      <alignment vertical="center" wrapText="1"/>
    </xf>
    <xf numFmtId="0" fontId="23" fillId="25" borderId="24" xfId="0" applyFont="1" applyFill="1" applyBorder="1" applyAlignment="1" quotePrefix="1">
      <alignment horizontal="center" vertical="center" wrapText="1"/>
    </xf>
    <xf numFmtId="170" fontId="23" fillId="25" borderId="24" xfId="0" applyNumberFormat="1" applyFont="1" applyFill="1" applyBorder="1" applyAlignment="1" quotePrefix="1">
      <alignment horizontal="center" vertical="center" wrapText="1"/>
    </xf>
    <xf numFmtId="16" fontId="23" fillId="25" borderId="24" xfId="0" applyNumberFormat="1" applyFont="1" applyFill="1" applyBorder="1" applyAlignment="1">
      <alignment horizontal="center" vertical="center" wrapText="1"/>
    </xf>
    <xf numFmtId="0" fontId="23" fillId="25" borderId="25" xfId="0" applyFont="1" applyFill="1" applyBorder="1" applyAlignment="1">
      <alignment horizontal="center" vertical="center" wrapText="1"/>
    </xf>
    <xf numFmtId="9" fontId="23" fillId="25" borderId="24" xfId="0" applyNumberFormat="1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vertical="center" wrapText="1"/>
    </xf>
    <xf numFmtId="0" fontId="23" fillId="25" borderId="12" xfId="0" applyFont="1" applyFill="1" applyBorder="1" applyAlignment="1">
      <alignment vertical="center" wrapText="1"/>
    </xf>
    <xf numFmtId="0" fontId="23" fillId="0" borderId="31" xfId="0" applyFont="1" applyFill="1" applyBorder="1" applyAlignment="1">
      <alignment vertical="center" wrapText="1"/>
    </xf>
    <xf numFmtId="0" fontId="23" fillId="0" borderId="28" xfId="0" applyFont="1" applyFill="1" applyBorder="1" applyAlignment="1">
      <alignment vertical="center" wrapText="1"/>
    </xf>
    <xf numFmtId="0" fontId="23" fillId="25" borderId="15" xfId="0" applyFont="1" applyFill="1" applyBorder="1" applyAlignment="1">
      <alignment vertical="center" wrapText="1"/>
    </xf>
    <xf numFmtId="0" fontId="24" fillId="24" borderId="17" xfId="0" applyFont="1" applyFill="1" applyBorder="1" applyAlignment="1">
      <alignment vertical="center" wrapText="1"/>
    </xf>
    <xf numFmtId="0" fontId="24" fillId="24" borderId="0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3" fillId="24" borderId="0" xfId="0" applyFont="1" applyFill="1" applyBorder="1" applyAlignment="1">
      <alignment vertical="center" wrapText="1"/>
    </xf>
    <xf numFmtId="0" fontId="23" fillId="0" borderId="26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center" wrapText="1"/>
    </xf>
    <xf numFmtId="0" fontId="23" fillId="24" borderId="40" xfId="0" applyFont="1" applyFill="1" applyBorder="1" applyAlignment="1">
      <alignment vertical="center" wrapText="1"/>
    </xf>
    <xf numFmtId="0" fontId="23" fillId="25" borderId="11" xfId="0" applyFont="1" applyFill="1" applyBorder="1" applyAlignment="1">
      <alignment vertical="center" wrapText="1"/>
    </xf>
    <xf numFmtId="197" fontId="23" fillId="0" borderId="12" xfId="0" applyNumberFormat="1" applyFont="1" applyFill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3" fontId="24" fillId="24" borderId="37" xfId="0" applyNumberFormat="1" applyFont="1" applyFill="1" applyBorder="1" applyAlignment="1">
      <alignment horizontal="center" vertical="center" wrapText="1"/>
    </xf>
    <xf numFmtId="170" fontId="24" fillId="24" borderId="37" xfId="0" applyNumberFormat="1" applyFont="1" applyFill="1" applyBorder="1" applyAlignment="1">
      <alignment horizontal="center" vertical="center" wrapText="1"/>
    </xf>
    <xf numFmtId="197" fontId="24" fillId="24" borderId="37" xfId="0" applyNumberFormat="1" applyFont="1" applyFill="1" applyBorder="1" applyAlignment="1">
      <alignment horizontal="center" vertical="center" wrapText="1"/>
    </xf>
    <xf numFmtId="0" fontId="12" fillId="0" borderId="30" xfId="53" applyFill="1" applyBorder="1" applyAlignment="1" applyProtection="1">
      <alignment horizontal="center" vertical="center" wrapText="1"/>
      <protection/>
    </xf>
    <xf numFmtId="0" fontId="12" fillId="25" borderId="30" xfId="53" applyFill="1" applyBorder="1" applyAlignment="1" applyProtection="1">
      <alignment horizontal="center" vertical="center" wrapText="1"/>
      <protection/>
    </xf>
    <xf numFmtId="0" fontId="12" fillId="25" borderId="33" xfId="53" applyFill="1" applyBorder="1" applyAlignment="1" applyProtection="1">
      <alignment horizontal="center" vertical="center" wrapText="1"/>
      <protection/>
    </xf>
    <xf numFmtId="0" fontId="25" fillId="0" borderId="28" xfId="0" applyFont="1" applyFill="1" applyBorder="1" applyAlignment="1" quotePrefix="1">
      <alignment horizontal="center" vertical="center" wrapText="1"/>
    </xf>
    <xf numFmtId="170" fontId="23" fillId="0" borderId="26" xfId="0" applyNumberFormat="1" applyFont="1" applyFill="1" applyBorder="1" applyAlignment="1" quotePrefix="1">
      <alignment horizontal="center" vertical="center" wrapText="1"/>
    </xf>
    <xf numFmtId="9" fontId="23" fillId="0" borderId="13" xfId="0" applyNumberFormat="1" applyFont="1" applyBorder="1" applyAlignment="1">
      <alignment horizontal="center" vertical="center" wrapText="1"/>
    </xf>
    <xf numFmtId="9" fontId="23" fillId="0" borderId="28" xfId="0" applyNumberFormat="1" applyFont="1" applyBorder="1" applyAlignment="1">
      <alignment horizontal="center" vertical="center" wrapText="1"/>
    </xf>
    <xf numFmtId="0" fontId="23" fillId="25" borderId="33" xfId="53" applyFont="1" applyFill="1" applyBorder="1" applyAlignment="1" applyProtection="1">
      <alignment horizontal="centerContinuous" vertical="center" wrapText="1"/>
      <protection/>
    </xf>
    <xf numFmtId="170" fontId="23" fillId="0" borderId="12" xfId="0" applyNumberFormat="1" applyFont="1" applyFill="1" applyBorder="1" applyAlignment="1">
      <alignment horizontal="center" vertical="center" wrapText="1"/>
    </xf>
    <xf numFmtId="9" fontId="23" fillId="0" borderId="12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170" fontId="23" fillId="0" borderId="15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vertical="center" wrapText="1"/>
    </xf>
    <xf numFmtId="170" fontId="23" fillId="0" borderId="26" xfId="0" applyNumberFormat="1" applyFont="1" applyFill="1" applyBorder="1" applyAlignment="1">
      <alignment horizontal="center" vertical="center" wrapText="1"/>
    </xf>
    <xf numFmtId="0" fontId="23" fillId="0" borderId="39" xfId="53" applyFont="1" applyFill="1" applyBorder="1" applyAlignment="1" applyProtection="1">
      <alignment horizontal="center" vertical="center" wrapText="1"/>
      <protection/>
    </xf>
    <xf numFmtId="170" fontId="24" fillId="24" borderId="36" xfId="0" applyNumberFormat="1" applyFont="1" applyFill="1" applyBorder="1" applyAlignment="1">
      <alignment horizontal="center" vertical="center" wrapText="1"/>
    </xf>
    <xf numFmtId="197" fontId="24" fillId="24" borderId="36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wrapText="1"/>
    </xf>
    <xf numFmtId="3" fontId="24" fillId="24" borderId="36" xfId="0" applyNumberFormat="1" applyFont="1" applyFill="1" applyBorder="1" applyAlignment="1">
      <alignment horizontal="center" vertical="center" wrapText="1"/>
    </xf>
    <xf numFmtId="0" fontId="23" fillId="24" borderId="45" xfId="53" applyFont="1" applyFill="1" applyBorder="1" applyAlignment="1" applyProtection="1">
      <alignment horizontal="centerContinuous" vertical="center" wrapText="1"/>
      <protection/>
    </xf>
    <xf numFmtId="0" fontId="0" fillId="0" borderId="0" xfId="0" applyFill="1" applyAlignment="1">
      <alignment wrapText="1"/>
    </xf>
    <xf numFmtId="197" fontId="23" fillId="0" borderId="15" xfId="0" applyNumberFormat="1" applyFont="1" applyFill="1" applyBorder="1" applyAlignment="1">
      <alignment horizontal="center" vertical="center" wrapText="1"/>
    </xf>
    <xf numFmtId="9" fontId="23" fillId="0" borderId="15" xfId="0" applyNumberFormat="1" applyFont="1" applyFill="1" applyBorder="1" applyAlignment="1">
      <alignment horizontal="center" vertical="center" wrapText="1"/>
    </xf>
    <xf numFmtId="9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3" fillId="0" borderId="46" xfId="53" applyFont="1" applyFill="1" applyBorder="1" applyAlignment="1" applyProtection="1">
      <alignment horizontal="centerContinuous" vertical="center" wrapText="1"/>
      <protection/>
    </xf>
    <xf numFmtId="0" fontId="23" fillId="25" borderId="30" xfId="53" applyFont="1" applyFill="1" applyBorder="1" applyAlignment="1" applyProtection="1">
      <alignment horizontal="center" vertical="center" wrapText="1"/>
      <protection/>
    </xf>
    <xf numFmtId="0" fontId="12" fillId="25" borderId="46" xfId="53" applyFill="1" applyBorder="1" applyAlignment="1" applyProtection="1">
      <alignment horizontal="center" vertical="center" wrapText="1"/>
      <protection/>
    </xf>
    <xf numFmtId="0" fontId="23" fillId="0" borderId="25" xfId="53" applyFont="1" applyFill="1" applyBorder="1" applyAlignment="1" applyProtection="1">
      <alignment horizontal="center" vertical="center" wrapText="1"/>
      <protection/>
    </xf>
    <xf numFmtId="0" fontId="25" fillId="25" borderId="26" xfId="0" applyFont="1" applyFill="1" applyBorder="1" applyAlignment="1">
      <alignment horizontal="center" vertical="center" wrapText="1"/>
    </xf>
    <xf numFmtId="0" fontId="23" fillId="25" borderId="39" xfId="53" applyFont="1" applyFill="1" applyBorder="1" applyAlignment="1" applyProtection="1">
      <alignment horizontal="centerContinuous" vertical="center" wrapText="1"/>
      <protection/>
    </xf>
    <xf numFmtId="197" fontId="27" fillId="26" borderId="28" xfId="0" applyNumberFormat="1" applyFont="1" applyFill="1" applyBorder="1" applyAlignment="1">
      <alignment horizontal="center" vertical="center" wrapText="1"/>
    </xf>
    <xf numFmtId="3" fontId="23" fillId="27" borderId="28" xfId="0" applyNumberFormat="1" applyFont="1" applyFill="1" applyBorder="1" applyAlignment="1">
      <alignment horizontal="center" vertical="center" wrapText="1"/>
    </xf>
    <xf numFmtId="9" fontId="23" fillId="25" borderId="11" xfId="0" applyNumberFormat="1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25" borderId="46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38" xfId="53" applyFont="1" applyFill="1" applyBorder="1" applyAlignment="1" applyProtection="1">
      <alignment horizontal="center" vertical="center" wrapText="1"/>
      <protection/>
    </xf>
    <xf numFmtId="3" fontId="23" fillId="0" borderId="41" xfId="0" applyNumberFormat="1" applyFont="1" applyFill="1" applyBorder="1" applyAlignment="1">
      <alignment horizontal="center" vertical="center" wrapText="1"/>
    </xf>
    <xf numFmtId="3" fontId="23" fillId="0" borderId="15" xfId="0" applyNumberFormat="1" applyFont="1" applyFill="1" applyBorder="1" applyAlignment="1">
      <alignment horizontal="center" vertical="center" wrapText="1"/>
    </xf>
    <xf numFmtId="3" fontId="23" fillId="0" borderId="24" xfId="0" applyNumberFormat="1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vertical="center" wrapText="1"/>
    </xf>
    <xf numFmtId="0" fontId="23" fillId="0" borderId="47" xfId="53" applyFont="1" applyFill="1" applyBorder="1" applyAlignment="1" applyProtection="1">
      <alignment horizontal="centerContinuous" vertical="center" wrapText="1"/>
      <protection/>
    </xf>
    <xf numFmtId="0" fontId="23" fillId="27" borderId="41" xfId="0" applyFont="1" applyFill="1" applyBorder="1" applyAlignment="1">
      <alignment horizontal="center" vertical="center" wrapText="1"/>
    </xf>
    <xf numFmtId="170" fontId="23" fillId="27" borderId="41" xfId="0" applyNumberFormat="1" applyFont="1" applyFill="1" applyBorder="1" applyAlignment="1">
      <alignment horizontal="center" vertical="center" wrapText="1"/>
    </xf>
    <xf numFmtId="197" fontId="23" fillId="27" borderId="41" xfId="0" applyNumberFormat="1" applyFont="1" applyFill="1" applyBorder="1" applyAlignment="1">
      <alignment horizontal="center" vertical="center" wrapText="1"/>
    </xf>
    <xf numFmtId="9" fontId="23" fillId="27" borderId="41" xfId="0" applyNumberFormat="1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vertical="center" wrapText="1"/>
    </xf>
    <xf numFmtId="3" fontId="23" fillId="0" borderId="28" xfId="0" applyNumberFormat="1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Continuous" vertical="center" wrapText="1"/>
    </xf>
    <xf numFmtId="170" fontId="23" fillId="27" borderId="28" xfId="0" applyNumberFormat="1" applyFont="1" applyFill="1" applyBorder="1" applyAlignment="1">
      <alignment horizontal="center" vertical="center" wrapText="1"/>
    </xf>
    <xf numFmtId="3" fontId="23" fillId="0" borderId="26" xfId="0" applyNumberFormat="1" applyFont="1" applyFill="1" applyBorder="1" applyAlignment="1">
      <alignment horizontal="center" vertical="center" wrapText="1"/>
    </xf>
    <xf numFmtId="0" fontId="24" fillId="24" borderId="49" xfId="0" applyFont="1" applyFill="1" applyBorder="1" applyAlignment="1">
      <alignment horizontal="left" vertical="center"/>
    </xf>
    <xf numFmtId="0" fontId="23" fillId="24" borderId="50" xfId="53" applyFont="1" applyFill="1" applyBorder="1" applyAlignment="1" applyProtection="1">
      <alignment horizontal="centerContinuous" vertical="center" wrapText="1"/>
      <protection/>
    </xf>
    <xf numFmtId="0" fontId="24" fillId="24" borderId="51" xfId="0" applyFont="1" applyFill="1" applyBorder="1" applyAlignment="1">
      <alignment horizontal="left" vertical="center"/>
    </xf>
    <xf numFmtId="0" fontId="23" fillId="24" borderId="52" xfId="53" applyFont="1" applyFill="1" applyBorder="1" applyAlignment="1" applyProtection="1">
      <alignment horizontal="centerContinuous" vertical="center" wrapText="1"/>
      <protection/>
    </xf>
    <xf numFmtId="9" fontId="23" fillId="0" borderId="12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vertical="center" wrapText="1"/>
    </xf>
    <xf numFmtId="0" fontId="23" fillId="0" borderId="12" xfId="53" applyFont="1" applyFill="1" applyBorder="1" applyAlignment="1" applyProtection="1">
      <alignment horizontal="centerContinuous" vertical="center" wrapText="1"/>
      <protection/>
    </xf>
    <xf numFmtId="0" fontId="23" fillId="24" borderId="37" xfId="0" applyFont="1" applyFill="1" applyBorder="1" applyAlignment="1">
      <alignment horizontal="center" vertical="center" wrapText="1"/>
    </xf>
    <xf numFmtId="0" fontId="25" fillId="24" borderId="37" xfId="0" applyFont="1" applyFill="1" applyBorder="1" applyAlignment="1">
      <alignment horizontal="center" vertical="center" wrapText="1"/>
    </xf>
    <xf numFmtId="170" fontId="25" fillId="24" borderId="37" xfId="0" applyNumberFormat="1" applyFont="1" applyFill="1" applyBorder="1" applyAlignment="1">
      <alignment horizontal="center" vertical="center" wrapText="1"/>
    </xf>
    <xf numFmtId="197" fontId="25" fillId="24" borderId="37" xfId="0" applyNumberFormat="1" applyFont="1" applyFill="1" applyBorder="1" applyAlignment="1">
      <alignment horizontal="center" vertical="center" wrapText="1"/>
    </xf>
    <xf numFmtId="0" fontId="23" fillId="24" borderId="53" xfId="0" applyFont="1" applyFill="1" applyBorder="1" applyAlignment="1">
      <alignment vertical="center" wrapText="1"/>
    </xf>
    <xf numFmtId="0" fontId="23" fillId="24" borderId="28" xfId="53" applyFont="1" applyFill="1" applyBorder="1" applyAlignment="1" applyProtection="1">
      <alignment horizontal="centerContinuous" vertical="center" wrapText="1"/>
      <protection/>
    </xf>
    <xf numFmtId="0" fontId="23" fillId="25" borderId="31" xfId="0" applyFont="1" applyFill="1" applyBorder="1" applyAlignment="1">
      <alignment horizontal="center" vertical="center" wrapText="1"/>
    </xf>
    <xf numFmtId="170" fontId="23" fillId="25" borderId="31" xfId="0" applyNumberFormat="1" applyFont="1" applyFill="1" applyBorder="1" applyAlignment="1">
      <alignment horizontal="center" vertical="center" wrapText="1"/>
    </xf>
    <xf numFmtId="197" fontId="23" fillId="25" borderId="31" xfId="0" applyNumberFormat="1" applyFont="1" applyFill="1" applyBorder="1" applyAlignment="1">
      <alignment horizontal="center" vertical="center" wrapText="1"/>
    </xf>
    <xf numFmtId="9" fontId="23" fillId="25" borderId="31" xfId="0" applyNumberFormat="1" applyFont="1" applyFill="1" applyBorder="1" applyAlignment="1">
      <alignment horizontal="center" vertical="center" wrapText="1"/>
    </xf>
    <xf numFmtId="0" fontId="23" fillId="25" borderId="31" xfId="0" applyFont="1" applyFill="1" applyBorder="1" applyAlignment="1">
      <alignment vertical="center" wrapText="1"/>
    </xf>
    <xf numFmtId="0" fontId="23" fillId="25" borderId="34" xfId="0" applyFont="1" applyFill="1" applyBorder="1" applyAlignment="1">
      <alignment horizontal="center" vertical="center" wrapText="1"/>
    </xf>
    <xf numFmtId="0" fontId="23" fillId="25" borderId="3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 quotePrefix="1">
      <alignment horizontal="center" vertical="center" wrapText="1"/>
    </xf>
    <xf numFmtId="170" fontId="23" fillId="0" borderId="13" xfId="0" applyNumberFormat="1" applyFont="1" applyFill="1" applyBorder="1" applyAlignment="1" quotePrefix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25" borderId="38" xfId="0" applyFont="1" applyFill="1" applyBorder="1" applyAlignment="1">
      <alignment horizontal="center" vertical="center" wrapText="1"/>
    </xf>
    <xf numFmtId="0" fontId="23" fillId="28" borderId="26" xfId="0" applyFont="1" applyFill="1" applyBorder="1" applyAlignment="1">
      <alignment horizontal="center" vertical="center" wrapText="1"/>
    </xf>
    <xf numFmtId="170" fontId="23" fillId="28" borderId="26" xfId="0" applyNumberFormat="1" applyFont="1" applyFill="1" applyBorder="1" applyAlignment="1">
      <alignment horizontal="center" vertical="center" wrapText="1"/>
    </xf>
    <xf numFmtId="197" fontId="23" fillId="28" borderId="26" xfId="0" applyNumberFormat="1" applyFont="1" applyFill="1" applyBorder="1" applyAlignment="1">
      <alignment horizontal="center" vertical="center" wrapText="1"/>
    </xf>
    <xf numFmtId="9" fontId="23" fillId="28" borderId="26" xfId="0" applyNumberFormat="1" applyFont="1" applyFill="1" applyBorder="1" applyAlignment="1">
      <alignment horizontal="center" vertical="center" wrapText="1"/>
    </xf>
    <xf numFmtId="0" fontId="23" fillId="28" borderId="26" xfId="0" applyFont="1" applyFill="1" applyBorder="1" applyAlignment="1">
      <alignment vertical="center" wrapText="1"/>
    </xf>
    <xf numFmtId="0" fontId="12" fillId="28" borderId="39" xfId="53" applyFill="1" applyBorder="1" applyAlignment="1" applyProtection="1">
      <alignment horizontal="center" vertical="center" wrapText="1"/>
      <protection/>
    </xf>
    <xf numFmtId="168" fontId="23" fillId="28" borderId="26" xfId="0" applyNumberFormat="1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3" fontId="23" fillId="0" borderId="41" xfId="0" applyNumberFormat="1" applyFont="1" applyFill="1" applyBorder="1" applyAlignment="1">
      <alignment horizontal="center" vertical="center" wrapText="1"/>
    </xf>
    <xf numFmtId="3" fontId="23" fillId="0" borderId="31" xfId="0" applyNumberFormat="1" applyFont="1" applyFill="1" applyBorder="1" applyAlignment="1">
      <alignment horizontal="center" vertical="center" wrapText="1"/>
    </xf>
    <xf numFmtId="3" fontId="23" fillId="0" borderId="24" xfId="0" applyNumberFormat="1" applyFont="1" applyFill="1" applyBorder="1" applyAlignment="1">
      <alignment horizontal="center" vertical="center" wrapText="1"/>
    </xf>
    <xf numFmtId="3" fontId="23" fillId="0" borderId="26" xfId="0" applyNumberFormat="1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3" fillId="0" borderId="54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3" fontId="23" fillId="0" borderId="15" xfId="0" applyNumberFormat="1" applyFont="1" applyFill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55" xfId="0" applyFont="1" applyFill="1" applyBorder="1" applyAlignment="1">
      <alignment horizontal="center" vertical="center" wrapText="1"/>
    </xf>
    <xf numFmtId="0" fontId="23" fillId="0" borderId="56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3" fontId="23" fillId="0" borderId="12" xfId="0" applyNumberFormat="1" applyFont="1" applyFill="1" applyBorder="1" applyAlignment="1">
      <alignment horizontal="center" vertical="center" wrapText="1"/>
    </xf>
    <xf numFmtId="3" fontId="23" fillId="0" borderId="13" xfId="0" applyNumberFormat="1" applyFont="1" applyFill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3" fontId="23" fillId="0" borderId="24" xfId="0" applyNumberFormat="1" applyFont="1" applyBorder="1" applyAlignment="1">
      <alignment horizontal="center" vertical="center" wrapText="1"/>
    </xf>
    <xf numFmtId="3" fontId="23" fillId="0" borderId="13" xfId="0" applyNumberFormat="1" applyFont="1" applyBorder="1" applyAlignment="1">
      <alignment horizontal="center" vertical="center" wrapText="1"/>
    </xf>
    <xf numFmtId="3" fontId="23" fillId="0" borderId="26" xfId="0" applyNumberFormat="1" applyFont="1" applyBorder="1" applyAlignment="1">
      <alignment horizontal="center" vertical="center" wrapText="1"/>
    </xf>
    <xf numFmtId="0" fontId="23" fillId="0" borderId="57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3" fontId="23" fillId="0" borderId="11" xfId="0" applyNumberFormat="1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3" fontId="23" fillId="0" borderId="41" xfId="0" applyNumberFormat="1" applyFont="1" applyBorder="1" applyAlignment="1">
      <alignment horizontal="center" vertical="center" wrapText="1"/>
    </xf>
    <xf numFmtId="3" fontId="23" fillId="0" borderId="15" xfId="0" applyNumberFormat="1" applyFont="1" applyBorder="1" applyAlignment="1">
      <alignment horizontal="center" vertical="center" wrapText="1"/>
    </xf>
    <xf numFmtId="3" fontId="23" fillId="0" borderId="31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wrapText="1"/>
    </xf>
    <xf numFmtId="0" fontId="23" fillId="0" borderId="11" xfId="0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F-16-FS-01\Contract%20Data\Documents%20and%20Settings\DesboroN\Local%20Settings\Temporary%20Internet%20Files\Content.Outlook\BW0XH0EG\Copy%20of%20Carbon_calculator_v3_1_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nvironment-agency.gov.uk/Documents%20and%20Settings\golemii\Local%20Settings\Temporary%20Internet%20Files\OLK34C\flow%20cha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nvironment-agency.gov.uk/Documents%20and%20Settings\caldwev\Local%20Settings\Temporary%20Internet%20Files\OLK1CF\test%20v3%201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er guide"/>
      <sheetName val="Project information"/>
      <sheetName val="Construction input"/>
      <sheetName val="Report"/>
      <sheetName val="Optioneering"/>
      <sheetName val="Data"/>
      <sheetName val="References"/>
      <sheetName val="User calculations"/>
      <sheetName val="Further guidance"/>
      <sheetName val="Personnel travel input-OPTIONAL"/>
      <sheetName val="Revision log"/>
    </sheetNames>
    <sheetDataSet>
      <sheetData sheetId="3">
        <row r="21">
          <cell r="G21" t="str">
            <v>Quarried Material</v>
          </cell>
        </row>
        <row r="22">
          <cell r="G22" t="str">
            <v>Timber</v>
          </cell>
        </row>
        <row r="23">
          <cell r="G23" t="str">
            <v>Concrete, Mortars &amp; Cement</v>
          </cell>
        </row>
        <row r="24">
          <cell r="G24" t="str">
            <v>Metals</v>
          </cell>
        </row>
        <row r="25">
          <cell r="G25" t="str">
            <v>Plastics</v>
          </cell>
        </row>
        <row r="26">
          <cell r="G26" t="str">
            <v>Glass</v>
          </cell>
        </row>
        <row r="27">
          <cell r="G27" t="str">
            <v>Miscellaneous</v>
          </cell>
        </row>
        <row r="28">
          <cell r="G28" t="str">
            <v>Finishings, coatings &amp; adhesives</v>
          </cell>
        </row>
        <row r="29">
          <cell r="G29" t="str">
            <v>Plant and equipment emissions</v>
          </cell>
        </row>
        <row r="30">
          <cell r="G30" t="str">
            <v>Waste Removal</v>
          </cell>
        </row>
      </sheetData>
      <sheetData sheetId="5">
        <row r="2">
          <cell r="U2" t="str">
            <v>Average CEM I Portland Cement, 94% Clinker</v>
          </cell>
        </row>
        <row r="3">
          <cell r="U3" t="str">
            <v>Ground Granulated Blastfurnace Slag (GGBS)</v>
          </cell>
        </row>
        <row r="4">
          <cell r="U4" t="str">
            <v>Fly Ash</v>
          </cell>
        </row>
        <row r="5">
          <cell r="U5" t="str">
            <v>Limestone</v>
          </cell>
        </row>
        <row r="6">
          <cell r="U6" t="str">
            <v>Cement: unknown type</v>
          </cell>
        </row>
        <row r="7">
          <cell r="U7" t="str">
            <v>Portland Limestone Cement, CEM II/A-LL or L (20% limestone)</v>
          </cell>
        </row>
        <row r="8">
          <cell r="U8" t="str">
            <v>Portland Limestone Cement, CEM II/A-LL or L (13% limestone)</v>
          </cell>
        </row>
        <row r="9">
          <cell r="U9" t="str">
            <v>Portland Limestone Cement, CEM II/A-LL or L (6% limestone)</v>
          </cell>
        </row>
        <row r="10">
          <cell r="U10" t="str">
            <v>Portland Fly Ash Cement, CEM II/A-V (20% Fly Ash)</v>
          </cell>
        </row>
        <row r="11">
          <cell r="U11" t="str">
            <v>Portland Fly Ash Cement, CEM II/A-V (13% Fly Ash)</v>
          </cell>
        </row>
        <row r="12">
          <cell r="U12" t="str">
            <v>Portland Fly Ash Cement, CEM II/A-V (6% Fly Ash)</v>
          </cell>
        </row>
        <row r="13">
          <cell r="U13" t="str">
            <v>Portland Fly Ash Cement, CEM II/B-V (35% Fly Ash)</v>
          </cell>
        </row>
        <row r="14">
          <cell r="C14" t="str">
            <v>Quarried aggregate</v>
          </cell>
          <cell r="E14" t="str">
            <v>tonnes/m3</v>
          </cell>
          <cell r="F14">
            <v>2</v>
          </cell>
          <cell r="G14" t="str">
            <v>tonnes/m3</v>
          </cell>
          <cell r="I14">
            <v>0.005</v>
          </cell>
          <cell r="J14" t="str">
            <v>cradle to gate</v>
          </cell>
          <cell r="K14">
            <v>3</v>
          </cell>
          <cell r="L14">
            <v>0.005</v>
          </cell>
          <cell r="M14">
            <v>2</v>
          </cell>
          <cell r="U14" t="str">
            <v>Portland Fly Ash Cement, CEM II/B-V (28% Fly Ash)</v>
          </cell>
        </row>
        <row r="15">
          <cell r="C15" t="str">
            <v>Recycled aggregate</v>
          </cell>
          <cell r="E15" t="str">
            <v>tonnes/m3</v>
          </cell>
          <cell r="F15">
            <v>2</v>
          </cell>
          <cell r="G15" t="str">
            <v>tonnes/m3</v>
          </cell>
          <cell r="I15">
            <v>0.005</v>
          </cell>
          <cell r="J15" t="str">
            <v>cradle to gate</v>
          </cell>
          <cell r="K15">
            <v>3</v>
          </cell>
          <cell r="L15">
            <v>0.005</v>
          </cell>
          <cell r="M15">
            <v>2</v>
          </cell>
          <cell r="U15" t="str">
            <v>Portland Fly Ash Cement, CEM II/B-V (21% Fly Ash)</v>
          </cell>
        </row>
        <row r="16">
          <cell r="C16" t="str">
            <v>Marine aggregate</v>
          </cell>
          <cell r="E16" t="str">
            <v>tonnes/m3</v>
          </cell>
          <cell r="F16">
            <v>2</v>
          </cell>
          <cell r="G16" t="str">
            <v>tonnes/m3</v>
          </cell>
          <cell r="I16">
            <v>0.00809</v>
          </cell>
          <cell r="J16" t="str">
            <v>cradle to gate</v>
          </cell>
          <cell r="K16">
            <v>9</v>
          </cell>
          <cell r="L16">
            <v>0.00809</v>
          </cell>
        </row>
        <row r="17">
          <cell r="C17" t="str">
            <v>Asphalt, 4% (bitumen) binder content (by mass)</v>
          </cell>
          <cell r="E17" t="str">
            <v>tonnes/m3</v>
          </cell>
          <cell r="F17">
            <v>1.7</v>
          </cell>
          <cell r="G17" t="str">
            <v>tonnes/m3</v>
          </cell>
          <cell r="I17">
            <v>0.066</v>
          </cell>
          <cell r="J17" t="str">
            <v>cradle to gate</v>
          </cell>
          <cell r="K17">
            <v>1</v>
          </cell>
          <cell r="L17">
            <v>0.066</v>
          </cell>
          <cell r="M17">
            <v>1.7</v>
          </cell>
          <cell r="U17" t="str">
            <v>Portland Slag Cement, CEM II/B-S (35% GGBS)</v>
          </cell>
        </row>
        <row r="18">
          <cell r="C18" t="str">
            <v>Asphalt, 5% (bitumen) binder content</v>
          </cell>
          <cell r="E18" t="str">
            <v>tonnes/m3</v>
          </cell>
          <cell r="F18">
            <v>1.7</v>
          </cell>
          <cell r="G18" t="str">
            <v>tonnes/m3</v>
          </cell>
          <cell r="I18">
            <v>0.071</v>
          </cell>
          <cell r="J18" t="str">
            <v>cradle to gate</v>
          </cell>
          <cell r="K18">
            <v>1</v>
          </cell>
          <cell r="L18">
            <v>0.071</v>
          </cell>
          <cell r="M18">
            <v>1.7</v>
          </cell>
          <cell r="U18" t="str">
            <v>Portland Slag Cement, CEM II/B-S (28% GGBS)</v>
          </cell>
        </row>
        <row r="19">
          <cell r="C19" t="str">
            <v>Asphalt, 6% (bitumen) binder content</v>
          </cell>
          <cell r="E19" t="str">
            <v>tonnes/m3</v>
          </cell>
          <cell r="F19">
            <v>1.7</v>
          </cell>
          <cell r="G19" t="str">
            <v>tonnes/m3</v>
          </cell>
          <cell r="I19">
            <v>0.076</v>
          </cell>
          <cell r="J19" t="str">
            <v>cradle to gate</v>
          </cell>
          <cell r="K19">
            <v>1</v>
          </cell>
          <cell r="L19">
            <v>0.076</v>
          </cell>
          <cell r="M19">
            <v>1.7</v>
          </cell>
          <cell r="U19" t="str">
            <v>Portland Slag Cement, CEM II/B-S (21% GGBS)</v>
          </cell>
        </row>
        <row r="20">
          <cell r="C20" t="str">
            <v>Asphalt, 7% (bitumen) binder content</v>
          </cell>
          <cell r="E20" t="str">
            <v>tonnes/m3</v>
          </cell>
          <cell r="F20">
            <v>1.7</v>
          </cell>
          <cell r="G20" t="str">
            <v>tonnes/m3</v>
          </cell>
          <cell r="I20">
            <v>0.081</v>
          </cell>
          <cell r="J20" t="str">
            <v>cradle to gate</v>
          </cell>
          <cell r="K20">
            <v>1</v>
          </cell>
          <cell r="L20">
            <v>0.081</v>
          </cell>
          <cell r="M20">
            <v>1.7</v>
          </cell>
          <cell r="U20" t="str">
            <v>Blastfurnace Cement, CEM III/A (65% GGBS)</v>
          </cell>
        </row>
        <row r="21">
          <cell r="C21" t="str">
            <v>Asphalt, 8% (bitumen) binder content</v>
          </cell>
          <cell r="E21" t="str">
            <v>tonnes/m3</v>
          </cell>
          <cell r="F21">
            <v>1.7</v>
          </cell>
          <cell r="G21" t="str">
            <v>tonnes/m3</v>
          </cell>
          <cell r="I21">
            <v>0.086</v>
          </cell>
          <cell r="J21" t="str">
            <v>cradle to gate</v>
          </cell>
          <cell r="K21">
            <v>1</v>
          </cell>
          <cell r="L21">
            <v>0.086</v>
          </cell>
          <cell r="M21">
            <v>1.7</v>
          </cell>
          <cell r="U21" t="str">
            <v>Blastfurnace Cement, CEM III/A (50.5% GGBS)</v>
          </cell>
        </row>
        <row r="22">
          <cell r="C22" t="str">
            <v>Bitumen</v>
          </cell>
          <cell r="E22" t="str">
            <v>tonnes/m3</v>
          </cell>
          <cell r="F22">
            <v>2.4</v>
          </cell>
          <cell r="G22" t="str">
            <v>tonnes/m3</v>
          </cell>
          <cell r="I22">
            <v>0.49</v>
          </cell>
          <cell r="J22" t="str">
            <v>cradle to gate</v>
          </cell>
          <cell r="K22">
            <v>1</v>
          </cell>
          <cell r="L22">
            <v>0.49</v>
          </cell>
          <cell r="M22">
            <v>2.4</v>
          </cell>
          <cell r="U22" t="str">
            <v>Blastfurnace Cement, CEM III/A (36% GGBS)</v>
          </cell>
        </row>
        <row r="23">
          <cell r="C23" t="str">
            <v>Bricks</v>
          </cell>
          <cell r="E23" t="str">
            <v>tonnes/m3</v>
          </cell>
          <cell r="F23">
            <v>1.92</v>
          </cell>
          <cell r="G23" t="str">
            <v>tonnes/m3</v>
          </cell>
          <cell r="I23">
            <v>0.24</v>
          </cell>
          <cell r="J23" t="str">
            <v>cradle to gate</v>
          </cell>
          <cell r="K23">
            <v>1</v>
          </cell>
          <cell r="L23">
            <v>0.24</v>
          </cell>
          <cell r="M23">
            <v>1.92</v>
          </cell>
          <cell r="U23" t="str">
            <v>Blastfurnace Cement, CEM III/B (80% GGBS)</v>
          </cell>
        </row>
        <row r="24">
          <cell r="C24" t="str">
            <v>Clay: general (simple baked products)</v>
          </cell>
          <cell r="E24" t="str">
            <v>tonnes/m3</v>
          </cell>
          <cell r="F24">
            <v>1.9</v>
          </cell>
          <cell r="G24" t="str">
            <v>tonnes/m3</v>
          </cell>
          <cell r="I24">
            <v>0.24</v>
          </cell>
          <cell r="J24" t="str">
            <v>cradle to gate</v>
          </cell>
          <cell r="K24">
            <v>1</v>
          </cell>
          <cell r="L24">
            <v>0.24</v>
          </cell>
          <cell r="M24">
            <v>1.9</v>
          </cell>
          <cell r="U24" t="str">
            <v>Blastfurnace Cement, CEM III/B (73% GGBS)</v>
          </cell>
        </row>
        <row r="25">
          <cell r="C25" t="str">
            <v>Clay tile</v>
          </cell>
          <cell r="E25" t="str">
            <v>tonnes/m3</v>
          </cell>
          <cell r="F25">
            <v>1.9</v>
          </cell>
          <cell r="G25" t="str">
            <v>tonnes/m3</v>
          </cell>
          <cell r="I25">
            <v>0.48</v>
          </cell>
          <cell r="J25" t="str">
            <v>cradle to gate</v>
          </cell>
          <cell r="K25">
            <v>1</v>
          </cell>
          <cell r="L25">
            <v>0.48</v>
          </cell>
          <cell r="M25">
            <v>1.9</v>
          </cell>
          <cell r="U25" t="str">
            <v>Blastfurnace Cement, CEM III/B (66% GGBS)</v>
          </cell>
        </row>
        <row r="26">
          <cell r="C26" t="str">
            <v>Vitrified clay pipe DN 100 &amp; DN 150</v>
          </cell>
          <cell r="E26" t="str">
            <v>tonnes/m3</v>
          </cell>
          <cell r="F26">
            <v>2.4</v>
          </cell>
          <cell r="G26" t="str">
            <v>tonnes/m3</v>
          </cell>
          <cell r="I26">
            <v>0.46</v>
          </cell>
          <cell r="J26" t="str">
            <v>cradle to gate</v>
          </cell>
          <cell r="K26">
            <v>1</v>
          </cell>
          <cell r="L26">
            <v>0.46</v>
          </cell>
          <cell r="M26">
            <v>2.4</v>
          </cell>
          <cell r="U26" t="str">
            <v>Pozzolanic (Siliceous Fly Ash) Cement, CEM IV/B-V (55% GGBS)</v>
          </cell>
        </row>
        <row r="27">
          <cell r="C27" t="str">
            <v>Vitrified clay pipe DN 200 &amp; DN 300</v>
          </cell>
          <cell r="E27" t="str">
            <v>tonnes/m3</v>
          </cell>
          <cell r="F27">
            <v>2.4</v>
          </cell>
          <cell r="G27" t="str">
            <v>tonnes/m3</v>
          </cell>
          <cell r="I27">
            <v>0.5</v>
          </cell>
          <cell r="J27" t="str">
            <v>cradle to gate</v>
          </cell>
          <cell r="K27">
            <v>1</v>
          </cell>
          <cell r="L27">
            <v>0.5</v>
          </cell>
          <cell r="M27">
            <v>2.4</v>
          </cell>
          <cell r="U27" t="str">
            <v>Pozzolanic (Siliceous Fly Ash) Cement, CEM IV/B-V (45.5% GGBS)</v>
          </cell>
        </row>
        <row r="28">
          <cell r="C28" t="str">
            <v>Vitrified clay pipe DN 500</v>
          </cell>
          <cell r="E28" t="str">
            <v>tonnes/m3</v>
          </cell>
          <cell r="F28">
            <v>2.4</v>
          </cell>
          <cell r="G28" t="str">
            <v>tonnes/m3</v>
          </cell>
          <cell r="I28">
            <v>0.55</v>
          </cell>
          <cell r="J28" t="str">
            <v>cradle to gate</v>
          </cell>
          <cell r="K28">
            <v>1</v>
          </cell>
          <cell r="L28">
            <v>0.55</v>
          </cell>
          <cell r="M28">
            <v>2.4</v>
          </cell>
          <cell r="U28" t="str">
            <v>Pozzolanic (Siliceous Fly Ash) Cement, CEM IV/B-V (36% GGBS)</v>
          </cell>
        </row>
        <row r="29">
          <cell r="C29" t="str">
            <v>Ceramics: general</v>
          </cell>
          <cell r="E29" t="str">
            <v>tonnes/m3</v>
          </cell>
          <cell r="F29">
            <v>2.4</v>
          </cell>
          <cell r="G29" t="str">
            <v>tonnes/m3</v>
          </cell>
          <cell r="I29">
            <v>0.7</v>
          </cell>
          <cell r="J29" t="str">
            <v>cradle to gate</v>
          </cell>
          <cell r="K29">
            <v>1</v>
          </cell>
          <cell r="L29">
            <v>0.7</v>
          </cell>
          <cell r="M29">
            <v>2.4</v>
          </cell>
          <cell r="U29" t="str">
            <v>Cement: General</v>
          </cell>
        </row>
        <row r="30">
          <cell r="C30" t="str">
            <v>Ceramics: Tiles and Cladding Panels</v>
          </cell>
          <cell r="E30" t="str">
            <v>tonnes/m3</v>
          </cell>
          <cell r="F30">
            <v>1.9</v>
          </cell>
          <cell r="G30" t="str">
            <v>tonnes/m3</v>
          </cell>
          <cell r="I30">
            <v>0.78</v>
          </cell>
          <cell r="J30" t="str">
            <v>cradle to gate</v>
          </cell>
          <cell r="K30">
            <v>1</v>
          </cell>
          <cell r="L30">
            <v>0.78</v>
          </cell>
          <cell r="M30">
            <v>1.9</v>
          </cell>
          <cell r="U30" t="str">
            <v>6-20% Fly Ash (CEM II/A-V)</v>
          </cell>
        </row>
        <row r="31">
          <cell r="C31" t="str">
            <v>Sand</v>
          </cell>
          <cell r="E31" t="str">
            <v>tonnes/m3</v>
          </cell>
          <cell r="F31">
            <v>2.24</v>
          </cell>
          <cell r="G31" t="str">
            <v>tonnes/m3</v>
          </cell>
          <cell r="I31">
            <v>0.0051</v>
          </cell>
          <cell r="J31" t="str">
            <v>cradle to gate</v>
          </cell>
          <cell r="K31">
            <v>1</v>
          </cell>
          <cell r="L31">
            <v>0.0051</v>
          </cell>
          <cell r="M31">
            <v>2.24</v>
          </cell>
          <cell r="U31" t="str">
            <v>21-35% Fly Ash (CEM II/B-V)</v>
          </cell>
        </row>
        <row r="32">
          <cell r="C32" t="str">
            <v>Lime</v>
          </cell>
          <cell r="E32" t="str">
            <v>tonnes/m3</v>
          </cell>
          <cell r="F32">
            <v>1.2</v>
          </cell>
          <cell r="G32" t="str">
            <v>tonnes/m3</v>
          </cell>
          <cell r="I32">
            <v>0.78</v>
          </cell>
          <cell r="J32" t="str">
            <v>cradle to gate</v>
          </cell>
          <cell r="K32">
            <v>1</v>
          </cell>
          <cell r="L32">
            <v>0.78</v>
          </cell>
          <cell r="M32">
            <v>1.2</v>
          </cell>
          <cell r="U32" t="str">
            <v>21-35% GGBS (CEM II/B-S)</v>
          </cell>
        </row>
        <row r="33">
          <cell r="C33" t="str">
            <v>Soil - general / rammed soil</v>
          </cell>
          <cell r="E33" t="str">
            <v>tonnes/m3</v>
          </cell>
          <cell r="F33">
            <v>1.7</v>
          </cell>
          <cell r="G33" t="str">
            <v>tonnes/m3</v>
          </cell>
          <cell r="I33">
            <v>0.024</v>
          </cell>
          <cell r="J33" t="str">
            <v>cradle to gate</v>
          </cell>
          <cell r="K33">
            <v>1</v>
          </cell>
          <cell r="L33">
            <v>0.024</v>
          </cell>
          <cell r="M33">
            <v>1.7</v>
          </cell>
          <cell r="U33" t="str">
            <v>36-65% GGBS (CEM III/A)</v>
          </cell>
        </row>
        <row r="34">
          <cell r="C34" t="str">
            <v>Stone: general</v>
          </cell>
          <cell r="E34" t="str">
            <v>tonnes/m3</v>
          </cell>
          <cell r="F34">
            <v>2</v>
          </cell>
          <cell r="G34" t="str">
            <v>tonnes/m3</v>
          </cell>
          <cell r="I34">
            <v>0.079</v>
          </cell>
          <cell r="J34" t="str">
            <v>cradle to gate</v>
          </cell>
          <cell r="K34">
            <v>1</v>
          </cell>
          <cell r="L34">
            <v>0.079</v>
          </cell>
          <cell r="M34">
            <v>2</v>
          </cell>
          <cell r="U34" t="str">
            <v>66-80% GGBS (CEM III/B)</v>
          </cell>
        </row>
        <row r="35">
          <cell r="C35" t="str">
            <v>Granite</v>
          </cell>
          <cell r="E35" t="str">
            <v>tonnes/m3</v>
          </cell>
          <cell r="F35">
            <v>2.88</v>
          </cell>
          <cell r="G35" t="str">
            <v>tonnes/m3</v>
          </cell>
          <cell r="I35">
            <v>0.7</v>
          </cell>
          <cell r="J35" t="str">
            <v>cradle to gate</v>
          </cell>
          <cell r="K35">
            <v>1</v>
          </cell>
          <cell r="L35">
            <v>0.7</v>
          </cell>
          <cell r="M35">
            <v>2.88</v>
          </cell>
          <cell r="U35" t="str">
            <v>Fibre Cement Panels - Uncoated</v>
          </cell>
        </row>
        <row r="36">
          <cell r="C36" t="str">
            <v>Limestone</v>
          </cell>
          <cell r="E36" t="str">
            <v>tonnes/m3</v>
          </cell>
          <cell r="F36">
            <v>2.18</v>
          </cell>
          <cell r="G36" t="str">
            <v>tonnes/m3</v>
          </cell>
          <cell r="I36">
            <v>0.09</v>
          </cell>
          <cell r="J36" t="str">
            <v>cradle to gate</v>
          </cell>
          <cell r="K36">
            <v>1</v>
          </cell>
          <cell r="L36">
            <v>0.09</v>
          </cell>
          <cell r="M36">
            <v>2.18</v>
          </cell>
          <cell r="U36" t="str">
            <v>Fibre Cement Panels - (Colour) Coated</v>
          </cell>
        </row>
        <row r="37">
          <cell r="C37" t="str">
            <v>Sandstone</v>
          </cell>
          <cell r="E37" t="str">
            <v>tonnes/m3</v>
          </cell>
          <cell r="F37">
            <v>2.2</v>
          </cell>
          <cell r="G37" t="str">
            <v>tonnes/m3</v>
          </cell>
          <cell r="I37">
            <v>0.06</v>
          </cell>
          <cell r="J37" t="str">
            <v>cradle to gate</v>
          </cell>
          <cell r="K37">
            <v>1</v>
          </cell>
          <cell r="L37">
            <v>0.06</v>
          </cell>
          <cell r="M37">
            <v>2.2</v>
          </cell>
        </row>
        <row r="38">
          <cell r="C38" t="str">
            <v>Shale</v>
          </cell>
          <cell r="E38" t="str">
            <v>tonnes/m3</v>
          </cell>
          <cell r="F38">
            <v>2.7</v>
          </cell>
          <cell r="G38" t="str">
            <v>tonnes/m3</v>
          </cell>
          <cell r="I38">
            <v>0.002</v>
          </cell>
          <cell r="J38" t="str">
            <v>cradle to gate</v>
          </cell>
          <cell r="K38">
            <v>1</v>
          </cell>
          <cell r="L38">
            <v>0.002</v>
          </cell>
          <cell r="M38">
            <v>2.7</v>
          </cell>
        </row>
        <row r="39">
          <cell r="C39" t="str">
            <v>Slate</v>
          </cell>
          <cell r="E39" t="str">
            <v>tonnes/m3</v>
          </cell>
          <cell r="F39">
            <v>2.7</v>
          </cell>
          <cell r="G39" t="str">
            <v>tonnes/m3</v>
          </cell>
          <cell r="I39">
            <v>0.035</v>
          </cell>
          <cell r="J39" t="str">
            <v>cradle to gate</v>
          </cell>
          <cell r="K39">
            <v>1</v>
          </cell>
          <cell r="L39">
            <v>0.035</v>
          </cell>
          <cell r="M39">
            <v>2.7</v>
          </cell>
        </row>
        <row r="40">
          <cell r="C40" t="str">
            <v>Timber: general</v>
          </cell>
          <cell r="E40" t="str">
            <v>tonnes/m3</v>
          </cell>
          <cell r="F40">
            <v>0.5</v>
          </cell>
          <cell r="G40" t="str">
            <v>tonnes/m3</v>
          </cell>
          <cell r="I40">
            <v>0.31</v>
          </cell>
          <cell r="J40" t="str">
            <v>cradle to gate</v>
          </cell>
          <cell r="K40">
            <v>1</v>
          </cell>
          <cell r="L40">
            <v>0.31</v>
          </cell>
          <cell r="M40">
            <v>0.5</v>
          </cell>
        </row>
        <row r="41">
          <cell r="C41" t="str">
            <v>Glue laminated timber</v>
          </cell>
          <cell r="E41" t="str">
            <v>tonnes/m3</v>
          </cell>
          <cell r="F41">
            <v>0.45</v>
          </cell>
          <cell r="G41" t="str">
            <v>tonnes/m3</v>
          </cell>
          <cell r="I41">
            <v>0.42</v>
          </cell>
          <cell r="J41" t="str">
            <v>cradle to gate</v>
          </cell>
          <cell r="K41">
            <v>1</v>
          </cell>
          <cell r="L41">
            <v>0.42</v>
          </cell>
          <cell r="M41">
            <v>0.45</v>
          </cell>
        </row>
        <row r="42">
          <cell r="C42" t="str">
            <v>Hardboard</v>
          </cell>
          <cell r="E42" t="str">
            <v>tonnes/m2</v>
          </cell>
          <cell r="F42">
            <v>26</v>
          </cell>
          <cell r="G42" t="str">
            <v>kg/m2*20mm</v>
          </cell>
          <cell r="I42">
            <v>0.58</v>
          </cell>
          <cell r="J42" t="str">
            <v>cradle to gate</v>
          </cell>
          <cell r="K42">
            <v>1</v>
          </cell>
          <cell r="L42">
            <v>0.58</v>
          </cell>
          <cell r="M42">
            <v>26</v>
          </cell>
        </row>
        <row r="43">
          <cell r="C43" t="str">
            <v>MDF</v>
          </cell>
          <cell r="E43" t="str">
            <v>tonnes/m2</v>
          </cell>
          <cell r="F43">
            <v>14</v>
          </cell>
          <cell r="G43" t="str">
            <v>kg/m2*20mm</v>
          </cell>
          <cell r="I43">
            <v>0.39</v>
          </cell>
          <cell r="J43" t="str">
            <v>cradle to gate</v>
          </cell>
          <cell r="K43">
            <v>1</v>
          </cell>
          <cell r="L43">
            <v>0.39</v>
          </cell>
          <cell r="M43">
            <v>14</v>
          </cell>
        </row>
        <row r="44">
          <cell r="C44" t="str">
            <v>Oriented Strand Board (OSB)</v>
          </cell>
          <cell r="E44" t="str">
            <v>tonnes/m3</v>
          </cell>
          <cell r="F44">
            <v>0.64</v>
          </cell>
          <cell r="G44" t="str">
            <v>tonnes/m3</v>
          </cell>
          <cell r="I44">
            <v>0.45</v>
          </cell>
          <cell r="J44" t="str">
            <v>cradle to gate</v>
          </cell>
          <cell r="K44">
            <v>1</v>
          </cell>
          <cell r="L44">
            <v>0.45</v>
          </cell>
          <cell r="M44">
            <v>0.64</v>
          </cell>
        </row>
        <row r="45">
          <cell r="C45" t="str">
            <v>Particle Board</v>
          </cell>
          <cell r="E45" t="str">
            <v>tonnes/m2</v>
          </cell>
          <cell r="F45">
            <v>6</v>
          </cell>
          <cell r="G45" t="str">
            <v>kg/m2*20mm</v>
          </cell>
          <cell r="I45">
            <v>0.54</v>
          </cell>
          <cell r="J45" t="str">
            <v>cradle to gate</v>
          </cell>
          <cell r="K45">
            <v>1</v>
          </cell>
          <cell r="L45">
            <v>0.54</v>
          </cell>
          <cell r="M45">
            <v>6</v>
          </cell>
        </row>
        <row r="46">
          <cell r="C46" t="str">
            <v>Plywood</v>
          </cell>
          <cell r="E46" t="str">
            <v>tonnes/m2</v>
          </cell>
          <cell r="F46">
            <v>11</v>
          </cell>
          <cell r="G46" t="str">
            <v>kg/m2*20mm</v>
          </cell>
          <cell r="I46">
            <v>0.45</v>
          </cell>
          <cell r="J46" t="str">
            <v>cradle to gate</v>
          </cell>
          <cell r="K46">
            <v>1</v>
          </cell>
          <cell r="L46">
            <v>0.45</v>
          </cell>
          <cell r="M46">
            <v>11</v>
          </cell>
        </row>
        <row r="47">
          <cell r="C47" t="str">
            <v>Reclaimed timber</v>
          </cell>
          <cell r="E47" t="str">
            <v>tonnes/m3</v>
          </cell>
          <cell r="F47">
            <v>0.7</v>
          </cell>
          <cell r="G47" t="str">
            <v>tonnes/m3</v>
          </cell>
          <cell r="I47">
            <v>0.031</v>
          </cell>
          <cell r="J47" t="str">
            <v>cradle to gate</v>
          </cell>
          <cell r="K47">
            <v>1</v>
          </cell>
          <cell r="L47">
            <v>0.031</v>
          </cell>
          <cell r="M47">
            <v>0.7</v>
          </cell>
        </row>
        <row r="48">
          <cell r="C48" t="str">
            <v>Sawn Hardwood</v>
          </cell>
          <cell r="E48" t="str">
            <v>tonnes/m3</v>
          </cell>
          <cell r="F48">
            <v>0.6</v>
          </cell>
          <cell r="G48" t="str">
            <v>tonnes/m3</v>
          </cell>
          <cell r="I48">
            <v>0.24</v>
          </cell>
          <cell r="J48" t="str">
            <v>cradle to gate</v>
          </cell>
          <cell r="K48">
            <v>1</v>
          </cell>
          <cell r="L48">
            <v>0.24</v>
          </cell>
          <cell r="M48">
            <v>0.6</v>
          </cell>
        </row>
        <row r="49">
          <cell r="C49" t="str">
            <v>Sawn Softwood</v>
          </cell>
          <cell r="E49" t="str">
            <v>tonnes/m3</v>
          </cell>
          <cell r="F49">
            <v>0.5</v>
          </cell>
          <cell r="G49" t="str">
            <v>tonnes/m3</v>
          </cell>
          <cell r="I49">
            <v>0.2</v>
          </cell>
          <cell r="J49" t="str">
            <v>cradle to gate</v>
          </cell>
          <cell r="K49">
            <v>1</v>
          </cell>
          <cell r="L49">
            <v>0.2</v>
          </cell>
          <cell r="M49">
            <v>0.5</v>
          </cell>
        </row>
        <row r="50">
          <cell r="C50" t="str">
            <v>Mortar (1:3 cement:sand mix)</v>
          </cell>
          <cell r="E50" t="str">
            <v>tonnes/m3</v>
          </cell>
          <cell r="F50">
            <v>2.2</v>
          </cell>
          <cell r="G50" t="str">
            <v>tonnes/m3</v>
          </cell>
          <cell r="I50">
            <v>0.221</v>
          </cell>
          <cell r="J50" t="str">
            <v>cradle to gate</v>
          </cell>
          <cell r="K50">
            <v>1</v>
          </cell>
          <cell r="L50">
            <v>0.221</v>
          </cell>
          <cell r="M50">
            <v>2.2</v>
          </cell>
        </row>
        <row r="51">
          <cell r="C51" t="str">
            <v>Mortar (1:4 cement:sand mix)</v>
          </cell>
          <cell r="E51" t="str">
            <v>tonnes/m3</v>
          </cell>
          <cell r="F51">
            <v>2.2</v>
          </cell>
          <cell r="G51" t="str">
            <v>tonnes/m3</v>
          </cell>
          <cell r="I51">
            <v>0.182</v>
          </cell>
          <cell r="J51" t="str">
            <v>cradle to gate</v>
          </cell>
          <cell r="K51">
            <v>1</v>
          </cell>
          <cell r="L51">
            <v>0.182</v>
          </cell>
          <cell r="M51">
            <v>2.2</v>
          </cell>
        </row>
        <row r="52">
          <cell r="C52" t="str">
            <v>Mortar (1:5 cement:sand mix)</v>
          </cell>
          <cell r="E52" t="str">
            <v>tonnes/m3</v>
          </cell>
          <cell r="F52">
            <v>2.2</v>
          </cell>
          <cell r="G52" t="str">
            <v>tonnes/m3</v>
          </cell>
          <cell r="I52">
            <v>0.156</v>
          </cell>
          <cell r="J52" t="str">
            <v>cradle to gate</v>
          </cell>
          <cell r="K52">
            <v>1</v>
          </cell>
          <cell r="L52">
            <v>0.156</v>
          </cell>
          <cell r="M52">
            <v>2.2</v>
          </cell>
        </row>
        <row r="53">
          <cell r="C53" t="str">
            <v>Mortar (1:6 cement:sand mix)</v>
          </cell>
          <cell r="E53" t="str">
            <v>tonnes/m3</v>
          </cell>
          <cell r="F53">
            <v>2.2</v>
          </cell>
          <cell r="G53" t="str">
            <v>tonnes/m3</v>
          </cell>
          <cell r="I53">
            <v>0.136</v>
          </cell>
          <cell r="J53" t="str">
            <v>cradle to gate</v>
          </cell>
          <cell r="K53">
            <v>1</v>
          </cell>
          <cell r="L53">
            <v>0.136</v>
          </cell>
          <cell r="M53">
            <v>2.2</v>
          </cell>
        </row>
        <row r="54">
          <cell r="C54" t="str">
            <v>Mortar (1:½:4½ Cement:Lime:Sand mix)</v>
          </cell>
          <cell r="E54" t="str">
            <v>tonnes/m3</v>
          </cell>
          <cell r="F54">
            <v>2.2</v>
          </cell>
          <cell r="G54" t="str">
            <v>tonnes/m3</v>
          </cell>
          <cell r="I54">
            <v>0.213</v>
          </cell>
          <cell r="J54" t="str">
            <v>cradle to gate</v>
          </cell>
          <cell r="K54">
            <v>1</v>
          </cell>
          <cell r="L54">
            <v>0.213</v>
          </cell>
          <cell r="M54">
            <v>2.2</v>
          </cell>
        </row>
        <row r="55">
          <cell r="C55" t="str">
            <v>Mortar (1:1:6 Cement:Lime:Sand mix)</v>
          </cell>
          <cell r="E55" t="str">
            <v>tonnes/m3</v>
          </cell>
          <cell r="F55">
            <v>2.2</v>
          </cell>
          <cell r="G55" t="str">
            <v>tonnes/m3</v>
          </cell>
          <cell r="I55">
            <v>0.174</v>
          </cell>
          <cell r="J55" t="str">
            <v>cradle to gate</v>
          </cell>
          <cell r="K55">
            <v>1</v>
          </cell>
          <cell r="L55">
            <v>0.174</v>
          </cell>
          <cell r="M55">
            <v>2.2</v>
          </cell>
        </row>
        <row r="56">
          <cell r="C56" t="str">
            <v>Mortar (1:2:9 Cement:Lime:Sand mix)</v>
          </cell>
          <cell r="E56" t="str">
            <v>tonnes/m3</v>
          </cell>
          <cell r="F56">
            <v>2.2</v>
          </cell>
          <cell r="G56" t="str">
            <v>tonnes/m3</v>
          </cell>
          <cell r="I56">
            <v>0.155</v>
          </cell>
          <cell r="J56" t="str">
            <v>cradle to gate</v>
          </cell>
          <cell r="K56">
            <v>1</v>
          </cell>
          <cell r="L56">
            <v>0.155</v>
          </cell>
          <cell r="M56">
            <v>2.2</v>
          </cell>
        </row>
        <row r="57">
          <cell r="C57" t="str">
            <v>Average CEM I Portland Cement, 94% Clinker</v>
          </cell>
          <cell r="E57" t="str">
            <v>tonnes/m3</v>
          </cell>
          <cell r="F57">
            <v>1.5</v>
          </cell>
          <cell r="G57" t="str">
            <v>tonnes/m3</v>
          </cell>
          <cell r="I57">
            <v>0.95</v>
          </cell>
          <cell r="J57" t="str">
            <v>cradle to gate</v>
          </cell>
          <cell r="K57">
            <v>1</v>
          </cell>
          <cell r="L57">
            <v>0.95</v>
          </cell>
          <cell r="M57">
            <v>1.5</v>
          </cell>
        </row>
        <row r="58">
          <cell r="C58" t="str">
            <v>Ground Granulated Blastfurnace Slag (GGBS)</v>
          </cell>
          <cell r="E58" t="str">
            <v>tonnes/m3</v>
          </cell>
          <cell r="F58">
            <v>1.5</v>
          </cell>
          <cell r="G58" t="str">
            <v>tonnes/m3</v>
          </cell>
          <cell r="I58">
            <v>0.083</v>
          </cell>
          <cell r="J58" t="str">
            <v>cradle to gate</v>
          </cell>
          <cell r="K58" t="str">
            <v>1*</v>
          </cell>
          <cell r="L58">
            <v>0.083</v>
          </cell>
          <cell r="M58">
            <v>1.5</v>
          </cell>
        </row>
        <row r="59">
          <cell r="C59" t="str">
            <v>Fly Ash</v>
          </cell>
          <cell r="E59" t="str">
            <v>tonnes/m3</v>
          </cell>
          <cell r="F59">
            <v>1.5</v>
          </cell>
          <cell r="G59" t="str">
            <v>tonnes/m3</v>
          </cell>
          <cell r="I59">
            <v>0.008</v>
          </cell>
          <cell r="J59" t="str">
            <v>cradle to gate</v>
          </cell>
          <cell r="K59">
            <v>1</v>
          </cell>
          <cell r="L59">
            <v>0.008</v>
          </cell>
          <cell r="M59">
            <v>1.5</v>
          </cell>
        </row>
        <row r="60">
          <cell r="C60" t="str">
            <v>Cement: unknown type</v>
          </cell>
          <cell r="E60" t="str">
            <v>tonnes/m3</v>
          </cell>
          <cell r="F60">
            <v>1.5</v>
          </cell>
          <cell r="G60" t="str">
            <v>tonnes/m3</v>
          </cell>
          <cell r="I60">
            <v>0.88</v>
          </cell>
          <cell r="J60" t="str">
            <v>cradle to gate</v>
          </cell>
          <cell r="K60">
            <v>6</v>
          </cell>
          <cell r="L60">
            <v>0.88</v>
          </cell>
          <cell r="M60">
            <v>1.5</v>
          </cell>
        </row>
        <row r="61">
          <cell r="C61" t="str">
            <v>Portland Limestone Cement, CEM II/A-LL or L (20% limestone)</v>
          </cell>
          <cell r="E61" t="str">
            <v>tonnes/m3</v>
          </cell>
          <cell r="F61">
            <v>1.5</v>
          </cell>
          <cell r="G61" t="str">
            <v>tonnes/m3</v>
          </cell>
          <cell r="I61">
            <v>0.75</v>
          </cell>
          <cell r="J61" t="str">
            <v>cradle to gate</v>
          </cell>
          <cell r="K61">
            <v>7</v>
          </cell>
          <cell r="L61">
            <v>0.75</v>
          </cell>
          <cell r="M61">
            <v>1.5</v>
          </cell>
        </row>
        <row r="62">
          <cell r="C62" t="str">
            <v>Portland Limestone Cement, CEM II/A-LL or L (13% limestone)</v>
          </cell>
          <cell r="E62" t="str">
            <v>tonnes/m3</v>
          </cell>
          <cell r="F62">
            <v>1.5</v>
          </cell>
          <cell r="G62" t="str">
            <v>tonnes/m3</v>
          </cell>
          <cell r="I62">
            <v>0.815</v>
          </cell>
          <cell r="J62" t="str">
            <v>cradle to gate</v>
          </cell>
          <cell r="K62">
            <v>7</v>
          </cell>
          <cell r="L62">
            <v>0.815</v>
          </cell>
          <cell r="M62">
            <v>1.5</v>
          </cell>
        </row>
        <row r="63">
          <cell r="C63" t="str">
            <v>Portland Limestone Cement, CEM II/A-LL or L (6% limestone)</v>
          </cell>
          <cell r="E63" t="str">
            <v>tonnes/m3</v>
          </cell>
          <cell r="F63">
            <v>1.5</v>
          </cell>
          <cell r="G63" t="str">
            <v>tonnes/m3</v>
          </cell>
          <cell r="I63">
            <v>0.88</v>
          </cell>
          <cell r="J63" t="str">
            <v>cradle to gate</v>
          </cell>
          <cell r="K63">
            <v>7</v>
          </cell>
          <cell r="L63">
            <v>0.88</v>
          </cell>
          <cell r="M63">
            <v>1.5</v>
          </cell>
        </row>
        <row r="64">
          <cell r="C64" t="str">
            <v>Portland Fly Ash Cement, CEM II/A-V (20% Fly Ash)</v>
          </cell>
          <cell r="E64" t="str">
            <v>tonnes/m3</v>
          </cell>
          <cell r="F64">
            <v>1.5</v>
          </cell>
          <cell r="G64" t="str">
            <v>tonnes/m3</v>
          </cell>
          <cell r="I64">
            <v>0.75</v>
          </cell>
          <cell r="J64" t="str">
            <v>cradle to gate</v>
          </cell>
          <cell r="K64">
            <v>7</v>
          </cell>
          <cell r="L64">
            <v>0.75</v>
          </cell>
          <cell r="M64">
            <v>1.5</v>
          </cell>
        </row>
        <row r="65">
          <cell r="C65" t="str">
            <v>Portland Fly Ash Cement, CEM II/A-V (13% Fly Ash)</v>
          </cell>
          <cell r="E65" t="str">
            <v>tonnes/m3</v>
          </cell>
          <cell r="F65">
            <v>1.5</v>
          </cell>
          <cell r="G65" t="str">
            <v>tonnes/m3</v>
          </cell>
          <cell r="I65">
            <v>0.81</v>
          </cell>
          <cell r="J65" t="str">
            <v>cradle to gate</v>
          </cell>
          <cell r="K65">
            <v>7</v>
          </cell>
          <cell r="L65">
            <v>0.81</v>
          </cell>
          <cell r="M65">
            <v>1.5</v>
          </cell>
        </row>
        <row r="66">
          <cell r="C66" t="str">
            <v>Portland Fly Ash Cement, CEM II/A-V (6% Fly Ash)</v>
          </cell>
          <cell r="E66" t="str">
            <v>tonnes/m3</v>
          </cell>
          <cell r="F66">
            <v>1.5</v>
          </cell>
          <cell r="G66" t="str">
            <v>tonnes/m3</v>
          </cell>
          <cell r="I66">
            <v>0.87</v>
          </cell>
          <cell r="J66" t="str">
            <v>cradle to gate</v>
          </cell>
          <cell r="K66">
            <v>7</v>
          </cell>
          <cell r="L66">
            <v>0.87</v>
          </cell>
          <cell r="M66">
            <v>1.5</v>
          </cell>
        </row>
        <row r="67">
          <cell r="C67" t="str">
            <v>Portland Fly Ash Cement, CEM II/B-V (35% Fly Ash)</v>
          </cell>
          <cell r="E67" t="str">
            <v>tonnes/m3</v>
          </cell>
          <cell r="F67">
            <v>1.5</v>
          </cell>
          <cell r="G67" t="str">
            <v>tonnes/m3</v>
          </cell>
          <cell r="I67">
            <v>0.61</v>
          </cell>
          <cell r="J67" t="str">
            <v>cradle to gate</v>
          </cell>
          <cell r="K67">
            <v>7</v>
          </cell>
          <cell r="L67">
            <v>0.61</v>
          </cell>
          <cell r="M67">
            <v>1.5</v>
          </cell>
        </row>
        <row r="68">
          <cell r="C68" t="str">
            <v>Portland Fly Ash Cement, CEM II/B-V (28% Fly Ash)</v>
          </cell>
          <cell r="E68" t="str">
            <v>tonnes/m3</v>
          </cell>
          <cell r="F68">
            <v>1.5</v>
          </cell>
          <cell r="G68" t="str">
            <v>tonnes/m3</v>
          </cell>
          <cell r="I68">
            <v>0.67</v>
          </cell>
          <cell r="J68" t="str">
            <v>cradle to gate</v>
          </cell>
          <cell r="K68">
            <v>7</v>
          </cell>
          <cell r="L68">
            <v>0.67</v>
          </cell>
          <cell r="M68">
            <v>1.5</v>
          </cell>
        </row>
        <row r="69">
          <cell r="C69" t="str">
            <v>Portland Fly Ash Cement, CEM II/B-V (21% Fly Ash)</v>
          </cell>
          <cell r="E69" t="str">
            <v>tonnes/m3</v>
          </cell>
          <cell r="F69">
            <v>1.5</v>
          </cell>
          <cell r="G69" t="str">
            <v>tonnes/m3</v>
          </cell>
          <cell r="I69">
            <v>0.73</v>
          </cell>
          <cell r="J69" t="str">
            <v>cradle to gate</v>
          </cell>
          <cell r="K69">
            <v>7</v>
          </cell>
          <cell r="L69">
            <v>0.73</v>
          </cell>
          <cell r="M69">
            <v>1.5</v>
          </cell>
        </row>
        <row r="70">
          <cell r="C70" t="str">
            <v>Portland Slag Cement, CEM II/B-S (35% GGBS)</v>
          </cell>
          <cell r="E70" t="str">
            <v>tonnes/m3</v>
          </cell>
          <cell r="F70">
            <v>1.5</v>
          </cell>
          <cell r="G70" t="str">
            <v>tonnes/m3</v>
          </cell>
          <cell r="I70">
            <v>0.62</v>
          </cell>
          <cell r="J70" t="str">
            <v>cradle to gate</v>
          </cell>
          <cell r="K70">
            <v>7</v>
          </cell>
          <cell r="L70">
            <v>0.62</v>
          </cell>
          <cell r="M70">
            <v>1.5</v>
          </cell>
        </row>
        <row r="71">
          <cell r="C71" t="str">
            <v>Portland Slag Cement, CEM II/B-S (28% GGBS)</v>
          </cell>
          <cell r="E71" t="str">
            <v>tonnes/m3</v>
          </cell>
          <cell r="F71">
            <v>1.5</v>
          </cell>
          <cell r="G71" t="str">
            <v>tonnes/m3</v>
          </cell>
          <cell r="I71">
            <v>0.68</v>
          </cell>
          <cell r="J71" t="str">
            <v>cradle to gate</v>
          </cell>
          <cell r="K71">
            <v>7</v>
          </cell>
          <cell r="L71">
            <v>0.68</v>
          </cell>
          <cell r="M71">
            <v>1.5</v>
          </cell>
        </row>
        <row r="72">
          <cell r="C72" t="str">
            <v>Portland Slag Cement, CEM II/B-S (21% GGBS)</v>
          </cell>
          <cell r="E72" t="str">
            <v>tonnes/m3</v>
          </cell>
          <cell r="F72">
            <v>1.5</v>
          </cell>
          <cell r="G72" t="str">
            <v>tonnes/m3</v>
          </cell>
          <cell r="I72">
            <v>0.74</v>
          </cell>
          <cell r="J72" t="str">
            <v>cradle to gate</v>
          </cell>
          <cell r="K72">
            <v>7</v>
          </cell>
          <cell r="L72">
            <v>0.74</v>
          </cell>
          <cell r="M72">
            <v>1.5</v>
          </cell>
        </row>
        <row r="73">
          <cell r="C73" t="str">
            <v>Blastfurnace Cement, CEM III/A (65% GGBS)</v>
          </cell>
          <cell r="E73" t="str">
            <v>tonnes/m3</v>
          </cell>
          <cell r="F73">
            <v>1.5</v>
          </cell>
          <cell r="G73" t="str">
            <v>tonnes/m3</v>
          </cell>
          <cell r="I73">
            <v>0.36</v>
          </cell>
          <cell r="J73" t="str">
            <v>cradle to gate</v>
          </cell>
          <cell r="K73">
            <v>7</v>
          </cell>
          <cell r="L73">
            <v>0.36</v>
          </cell>
          <cell r="M73">
            <v>1.5</v>
          </cell>
        </row>
        <row r="74">
          <cell r="C74" t="str">
            <v>Blastfurnace Cement, CEM III/A (50.5% GGBS)</v>
          </cell>
          <cell r="E74" t="str">
            <v>tonnes/m3</v>
          </cell>
          <cell r="F74">
            <v>1.5</v>
          </cell>
          <cell r="G74" t="str">
            <v>tonnes/m3</v>
          </cell>
          <cell r="I74">
            <v>0.48</v>
          </cell>
          <cell r="J74" t="str">
            <v>cradle to gate</v>
          </cell>
          <cell r="K74">
            <v>7</v>
          </cell>
          <cell r="L74">
            <v>0.48</v>
          </cell>
          <cell r="M74">
            <v>1.5</v>
          </cell>
        </row>
        <row r="75">
          <cell r="C75" t="str">
            <v>Blastfurnace Cement, CEM III/A (36% GGBS)</v>
          </cell>
          <cell r="E75" t="str">
            <v>tonnes/m3</v>
          </cell>
          <cell r="F75">
            <v>1.5</v>
          </cell>
          <cell r="G75" t="str">
            <v>tonnes/m3</v>
          </cell>
          <cell r="I75">
            <v>0.61</v>
          </cell>
          <cell r="J75" t="str">
            <v>cradle to gate</v>
          </cell>
          <cell r="K75">
            <v>7</v>
          </cell>
          <cell r="L75">
            <v>0.61</v>
          </cell>
          <cell r="M75">
            <v>1.5</v>
          </cell>
        </row>
        <row r="76">
          <cell r="C76" t="str">
            <v>Blastfurnace Cement, CEM III/B (80% GGBS)</v>
          </cell>
          <cell r="E76" t="str">
            <v>tonnes/m3</v>
          </cell>
          <cell r="F76">
            <v>1.5</v>
          </cell>
          <cell r="G76" t="str">
            <v>tonnes/m3</v>
          </cell>
          <cell r="I76">
            <v>0.23</v>
          </cell>
          <cell r="J76" t="str">
            <v>cradle to gate</v>
          </cell>
          <cell r="K76">
            <v>7</v>
          </cell>
          <cell r="L76">
            <v>0.23</v>
          </cell>
          <cell r="M76">
            <v>1.5</v>
          </cell>
        </row>
        <row r="77">
          <cell r="C77" t="str">
            <v>Blastfurnace Cement, CEM III/B (73% GGBS)</v>
          </cell>
          <cell r="E77" t="str">
            <v>tonnes/m3</v>
          </cell>
          <cell r="F77">
            <v>1.5</v>
          </cell>
          <cell r="G77" t="str">
            <v>tonnes/m3</v>
          </cell>
          <cell r="I77">
            <v>0.285</v>
          </cell>
          <cell r="J77" t="str">
            <v>cradle to gate</v>
          </cell>
          <cell r="K77">
            <v>7</v>
          </cell>
          <cell r="L77">
            <v>0.285</v>
          </cell>
          <cell r="M77">
            <v>1.5</v>
          </cell>
        </row>
        <row r="78">
          <cell r="C78" t="str">
            <v>Blastfurnace Cement, CEM III/B (66% GGBS)</v>
          </cell>
          <cell r="E78" t="str">
            <v>tonnes/m3</v>
          </cell>
          <cell r="F78">
            <v>1.5</v>
          </cell>
          <cell r="G78" t="str">
            <v>tonnes/m3</v>
          </cell>
          <cell r="I78">
            <v>0.34</v>
          </cell>
          <cell r="J78" t="str">
            <v>cradle to gate</v>
          </cell>
          <cell r="K78">
            <v>7</v>
          </cell>
          <cell r="L78">
            <v>0.34</v>
          </cell>
          <cell r="M78">
            <v>1.5</v>
          </cell>
        </row>
        <row r="79">
          <cell r="C79" t="str">
            <v>Pozzolanic (Siliceous Fly Ash) Cement, CEM IV/B-V (55% GGBS)</v>
          </cell>
          <cell r="E79" t="str">
            <v>tonnes/m3</v>
          </cell>
          <cell r="F79">
            <v>1.5</v>
          </cell>
          <cell r="G79" t="str">
            <v>tonnes/m3</v>
          </cell>
          <cell r="I79">
            <v>0.42</v>
          </cell>
          <cell r="J79" t="str">
            <v>cradle to gate</v>
          </cell>
          <cell r="K79">
            <v>7</v>
          </cell>
          <cell r="L79">
            <v>0.42</v>
          </cell>
          <cell r="M79">
            <v>1.5</v>
          </cell>
        </row>
        <row r="80">
          <cell r="C80" t="str">
            <v>Pozzolanic (Siliceous Fly Ash) Cement, CEM IV/B-V (45.5% GGBS)</v>
          </cell>
          <cell r="E80" t="str">
            <v>tonnes/m3</v>
          </cell>
          <cell r="F80">
            <v>1.5</v>
          </cell>
          <cell r="G80" t="str">
            <v>tonnes/m3</v>
          </cell>
          <cell r="I80">
            <v>0.505</v>
          </cell>
          <cell r="J80" t="str">
            <v>cradle to gate</v>
          </cell>
          <cell r="K80">
            <v>7</v>
          </cell>
          <cell r="L80">
            <v>0.505</v>
          </cell>
          <cell r="M80">
            <v>1.5</v>
          </cell>
        </row>
        <row r="81">
          <cell r="C81" t="str">
            <v>Pozzolanic (Siliceous Fly Ash) Cement, CEM IV/B-V (36% GGBS)</v>
          </cell>
          <cell r="E81" t="str">
            <v>tonnes/m3</v>
          </cell>
          <cell r="F81">
            <v>1.5</v>
          </cell>
          <cell r="G81" t="str">
            <v>tonnes/m3</v>
          </cell>
          <cell r="I81">
            <v>0.59</v>
          </cell>
          <cell r="J81" t="str">
            <v>cradle to gate</v>
          </cell>
          <cell r="K81">
            <v>7</v>
          </cell>
          <cell r="L81">
            <v>0.59</v>
          </cell>
          <cell r="M81">
            <v>1.5</v>
          </cell>
        </row>
        <row r="82">
          <cell r="C82" t="str">
            <v>Cement: General</v>
          </cell>
          <cell r="E82" t="str">
            <v>tonnes/m3</v>
          </cell>
          <cell r="F82">
            <v>1.86</v>
          </cell>
          <cell r="G82" t="str">
            <v>tonnes/m3</v>
          </cell>
          <cell r="I82">
            <v>0.74</v>
          </cell>
          <cell r="J82" t="str">
            <v>cradle to gate</v>
          </cell>
          <cell r="K82">
            <v>1</v>
          </cell>
          <cell r="L82">
            <v>0.74</v>
          </cell>
          <cell r="M82">
            <v>1.86</v>
          </cell>
        </row>
        <row r="83">
          <cell r="C83" t="str">
            <v>6-20% Fly Ash (CEM II/A-V)</v>
          </cell>
          <cell r="E83" t="str">
            <v>tonnes/m3</v>
          </cell>
          <cell r="F83">
            <v>1.5</v>
          </cell>
          <cell r="G83" t="str">
            <v>tonnes/m3</v>
          </cell>
          <cell r="I83">
            <v>0.825</v>
          </cell>
          <cell r="J83" t="str">
            <v>cradle to gate</v>
          </cell>
          <cell r="K83">
            <v>1</v>
          </cell>
          <cell r="L83">
            <v>0.825</v>
          </cell>
          <cell r="M83">
            <v>1.5</v>
          </cell>
        </row>
        <row r="84">
          <cell r="C84" t="str">
            <v>21-35% Fly Ash (CEM II/B-V)</v>
          </cell>
          <cell r="E84" t="str">
            <v>tonnes/m3</v>
          </cell>
          <cell r="F84">
            <v>1.5</v>
          </cell>
          <cell r="G84" t="str">
            <v>tonnes/m3</v>
          </cell>
          <cell r="I84">
            <v>0.685</v>
          </cell>
          <cell r="J84" t="str">
            <v>cradle to gate</v>
          </cell>
          <cell r="K84">
            <v>1</v>
          </cell>
          <cell r="L84">
            <v>0.685</v>
          </cell>
          <cell r="M84">
            <v>1.5</v>
          </cell>
        </row>
        <row r="85">
          <cell r="C85" t="str">
            <v>21-35% GGBS (CEM II/B-S)</v>
          </cell>
          <cell r="E85" t="str">
            <v>tonnes/m3</v>
          </cell>
          <cell r="F85">
            <v>1.5</v>
          </cell>
          <cell r="G85" t="str">
            <v>tonnes/m3</v>
          </cell>
          <cell r="I85">
            <v>0.71</v>
          </cell>
          <cell r="J85" t="str">
            <v>cradle to gate</v>
          </cell>
          <cell r="K85">
            <v>1</v>
          </cell>
          <cell r="L85">
            <v>0.71</v>
          </cell>
          <cell r="M85">
            <v>1.5</v>
          </cell>
        </row>
        <row r="86">
          <cell r="C86" t="str">
            <v>36-65% GGBS (CEM III/A)</v>
          </cell>
          <cell r="E86" t="str">
            <v>tonnes/m3</v>
          </cell>
          <cell r="F86">
            <v>1.5</v>
          </cell>
          <cell r="G86" t="str">
            <v>tonnes/m3</v>
          </cell>
          <cell r="I86">
            <v>0.515</v>
          </cell>
          <cell r="J86" t="str">
            <v>cradle to gate</v>
          </cell>
          <cell r="K86">
            <v>1</v>
          </cell>
          <cell r="L86">
            <v>0.515</v>
          </cell>
          <cell r="M86">
            <v>1.5</v>
          </cell>
        </row>
        <row r="87">
          <cell r="C87" t="str">
            <v>66-80% GGBS (CEM III/B)</v>
          </cell>
          <cell r="E87" t="str">
            <v>tonnes/m3</v>
          </cell>
          <cell r="F87">
            <v>1.5</v>
          </cell>
          <cell r="G87" t="str">
            <v>tonnes/m3</v>
          </cell>
          <cell r="I87">
            <v>0.32</v>
          </cell>
          <cell r="J87" t="str">
            <v>cradle to gate</v>
          </cell>
          <cell r="K87">
            <v>1</v>
          </cell>
          <cell r="L87">
            <v>0.32</v>
          </cell>
          <cell r="M87">
            <v>1.5</v>
          </cell>
        </row>
        <row r="88">
          <cell r="C88" t="str">
            <v>Fibre Cement Panels - Uncoated</v>
          </cell>
          <cell r="E88" t="str">
            <v>tonnes/m3</v>
          </cell>
          <cell r="F88">
            <v>1.8</v>
          </cell>
          <cell r="G88" t="str">
            <v>tonnes/m3</v>
          </cell>
          <cell r="I88">
            <v>1.09</v>
          </cell>
          <cell r="J88" t="str">
            <v>cradle to gate</v>
          </cell>
          <cell r="K88" t="str">
            <v>1*</v>
          </cell>
          <cell r="L88">
            <v>1.09</v>
          </cell>
          <cell r="M88">
            <v>1.8</v>
          </cell>
        </row>
        <row r="89">
          <cell r="C89" t="str">
            <v>Fibre Cement Panels - (Colour) Coated</v>
          </cell>
          <cell r="E89" t="str">
            <v>tonnes/m3</v>
          </cell>
          <cell r="F89">
            <v>1.8</v>
          </cell>
          <cell r="G89" t="str">
            <v>tonnes/m3</v>
          </cell>
          <cell r="I89">
            <v>1.28</v>
          </cell>
          <cell r="J89" t="str">
            <v>cradle to gate</v>
          </cell>
          <cell r="K89" t="str">
            <v>1*</v>
          </cell>
          <cell r="L89">
            <v>1.28</v>
          </cell>
          <cell r="M89">
            <v>1.8</v>
          </cell>
        </row>
        <row r="90">
          <cell r="C90" t="str">
            <v>Cement stabilised soil @ 5%</v>
          </cell>
          <cell r="E90" t="str">
            <v>tonnes/m3</v>
          </cell>
          <cell r="F90">
            <v>1.46</v>
          </cell>
          <cell r="G90" t="str">
            <v>tonnes/m3</v>
          </cell>
          <cell r="I90">
            <v>0.061</v>
          </cell>
          <cell r="J90" t="str">
            <v>cradle to gate</v>
          </cell>
          <cell r="K90">
            <v>1</v>
          </cell>
          <cell r="L90">
            <v>0.061</v>
          </cell>
          <cell r="M90">
            <v>1.46</v>
          </cell>
        </row>
        <row r="91">
          <cell r="C91" t="str">
            <v>Cement stabilised soil @ 8%</v>
          </cell>
          <cell r="E91" t="str">
            <v>tonnes/m3</v>
          </cell>
          <cell r="F91">
            <v>1.46</v>
          </cell>
          <cell r="G91" t="str">
            <v>tonnes/m3</v>
          </cell>
          <cell r="I91">
            <v>0.084</v>
          </cell>
          <cell r="J91" t="str">
            <v>cradle to gate</v>
          </cell>
          <cell r="K91">
            <v>1</v>
          </cell>
          <cell r="L91">
            <v>0.084</v>
          </cell>
          <cell r="M91">
            <v>1.46</v>
          </cell>
        </row>
        <row r="92">
          <cell r="C92" t="str">
            <v>GGBS stabilised soil</v>
          </cell>
          <cell r="E92" t="str">
            <v>tonnes/m3</v>
          </cell>
          <cell r="F92">
            <v>1.46</v>
          </cell>
          <cell r="G92" t="str">
            <v>tonnes/m3</v>
          </cell>
          <cell r="I92">
            <v>0.047</v>
          </cell>
          <cell r="J92" t="str">
            <v>cradle to gate</v>
          </cell>
          <cell r="K92">
            <v>1</v>
          </cell>
          <cell r="L92">
            <v>0.047</v>
          </cell>
          <cell r="M92">
            <v>1.46</v>
          </cell>
        </row>
        <row r="93">
          <cell r="C93" t="str">
            <v>Fly ash stabilised soil</v>
          </cell>
          <cell r="E93" t="str">
            <v>tonnes/m3</v>
          </cell>
          <cell r="F93">
            <v>1.46</v>
          </cell>
          <cell r="G93" t="str">
            <v>tonnes/m3</v>
          </cell>
          <cell r="I93">
            <v>0.041</v>
          </cell>
          <cell r="J93" t="str">
            <v>cradle to gate</v>
          </cell>
          <cell r="K93">
            <v>1</v>
          </cell>
          <cell r="L93">
            <v>0.041</v>
          </cell>
          <cell r="M93">
            <v>1.46</v>
          </cell>
        </row>
        <row r="94">
          <cell r="C94" t="str">
            <v>Block - 8MPa Compressive Strength</v>
          </cell>
          <cell r="E94" t="str">
            <v>tonnes/m3</v>
          </cell>
          <cell r="F94">
            <v>1.05</v>
          </cell>
          <cell r="G94" t="str">
            <v>tonnes/m3</v>
          </cell>
          <cell r="I94">
            <v>0.063</v>
          </cell>
          <cell r="J94" t="str">
            <v>cradle to gate</v>
          </cell>
          <cell r="K94">
            <v>1</v>
          </cell>
          <cell r="L94">
            <v>0.063</v>
          </cell>
          <cell r="M94">
            <v>1.05</v>
          </cell>
        </row>
        <row r="95">
          <cell r="C95" t="str">
            <v>Block - 10 Mpa Compressive Strength</v>
          </cell>
          <cell r="E95" t="str">
            <v>tonnes/m3</v>
          </cell>
          <cell r="F95">
            <v>1.15</v>
          </cell>
          <cell r="G95" t="str">
            <v>tonnes/m3</v>
          </cell>
          <cell r="I95">
            <v>0.078</v>
          </cell>
          <cell r="J95" t="str">
            <v>cradle to gate</v>
          </cell>
          <cell r="K95">
            <v>1</v>
          </cell>
          <cell r="L95">
            <v>0.078</v>
          </cell>
          <cell r="M95">
            <v>1.15</v>
          </cell>
        </row>
        <row r="96">
          <cell r="C96" t="str">
            <v>Block - 12 Mpa Compressive Strength</v>
          </cell>
          <cell r="E96" t="str">
            <v>tonnes/m3</v>
          </cell>
          <cell r="F96">
            <v>1.25</v>
          </cell>
          <cell r="G96" t="str">
            <v>tonnes/m3</v>
          </cell>
          <cell r="I96">
            <v>0.088</v>
          </cell>
          <cell r="J96" t="str">
            <v>cradle to gate</v>
          </cell>
          <cell r="K96">
            <v>1</v>
          </cell>
          <cell r="L96">
            <v>0.088</v>
          </cell>
          <cell r="M96">
            <v>1.25</v>
          </cell>
        </row>
        <row r="97">
          <cell r="C97" t="str">
            <v>Block - 13 Mpa Compressive Strength</v>
          </cell>
          <cell r="E97" t="str">
            <v>tonnes/m3</v>
          </cell>
          <cell r="F97">
            <v>1.35</v>
          </cell>
          <cell r="G97" t="str">
            <v>tonnes/m3</v>
          </cell>
          <cell r="I97">
            <v>0.107</v>
          </cell>
          <cell r="J97" t="str">
            <v>cradle to gate</v>
          </cell>
          <cell r="K97">
            <v>1</v>
          </cell>
          <cell r="L97">
            <v>0.107</v>
          </cell>
          <cell r="M97">
            <v>1.35</v>
          </cell>
        </row>
        <row r="98">
          <cell r="C98" t="str">
            <v>Autoclaved Aerated Blocks (AACs)</v>
          </cell>
          <cell r="E98" t="str">
            <v>tonnes/m3</v>
          </cell>
          <cell r="F98">
            <v>0.8</v>
          </cell>
          <cell r="G98" t="str">
            <v>tonnes/m3</v>
          </cell>
          <cell r="I98">
            <v>0.3075</v>
          </cell>
          <cell r="J98" t="str">
            <v>cradle to gate</v>
          </cell>
          <cell r="K98" t="str">
            <v>1*</v>
          </cell>
          <cell r="L98">
            <v>0.3075</v>
          </cell>
          <cell r="M98">
            <v>0.8</v>
          </cell>
        </row>
        <row r="99">
          <cell r="C99" t="str">
            <v>Copper: EU Tube &amp; Sheet</v>
          </cell>
          <cell r="E99" t="str">
            <v>tonnes/m3</v>
          </cell>
          <cell r="F99">
            <v>8.9</v>
          </cell>
          <cell r="G99" t="str">
            <v>tonnes/m3</v>
          </cell>
          <cell r="I99">
            <v>2.71</v>
          </cell>
          <cell r="J99" t="str">
            <v>cradle to gate</v>
          </cell>
          <cell r="K99">
            <v>1</v>
          </cell>
          <cell r="L99">
            <v>2.71</v>
          </cell>
          <cell r="M99">
            <v>8.9</v>
          </cell>
        </row>
        <row r="100">
          <cell r="C100" t="str">
            <v>Copper: Reused copper</v>
          </cell>
          <cell r="E100" t="str">
            <v>tonnes/m3</v>
          </cell>
          <cell r="F100">
            <v>8.9</v>
          </cell>
          <cell r="G100" t="str">
            <v>tonnes/m3</v>
          </cell>
          <cell r="I100">
            <v>0.271</v>
          </cell>
          <cell r="J100" t="str">
            <v>cradle to gate</v>
          </cell>
          <cell r="K100">
            <v>1</v>
          </cell>
          <cell r="L100">
            <v>0.271</v>
          </cell>
          <cell r="M100">
            <v>8.9</v>
          </cell>
        </row>
        <row r="101">
          <cell r="C101" t="str">
            <v>Iron</v>
          </cell>
          <cell r="E101" t="str">
            <v>tonnes/m3</v>
          </cell>
          <cell r="F101">
            <v>7.87</v>
          </cell>
          <cell r="G101" t="str">
            <v>tonnes/m3</v>
          </cell>
          <cell r="I101">
            <v>2.03</v>
          </cell>
          <cell r="J101" t="str">
            <v>cradle to gate</v>
          </cell>
          <cell r="K101">
            <v>1</v>
          </cell>
          <cell r="L101">
            <v>2.03</v>
          </cell>
          <cell r="M101">
            <v>7.87</v>
          </cell>
        </row>
        <row r="102">
          <cell r="C102" t="str">
            <v>Lead</v>
          </cell>
          <cell r="E102" t="str">
            <v>tonnes/m3</v>
          </cell>
          <cell r="F102">
            <v>11.34</v>
          </cell>
          <cell r="G102" t="str">
            <v>tonnes/m3</v>
          </cell>
          <cell r="I102">
            <v>1.67</v>
          </cell>
          <cell r="J102" t="str">
            <v>cradle to gate</v>
          </cell>
          <cell r="K102">
            <v>1</v>
          </cell>
          <cell r="L102">
            <v>1.67</v>
          </cell>
          <cell r="M102">
            <v>11.34</v>
          </cell>
        </row>
        <row r="103">
          <cell r="C103" t="str">
            <v>Steel: General - UK (EU) Average Recycled Content</v>
          </cell>
          <cell r="E103" t="str">
            <v>tonnes/m3</v>
          </cell>
          <cell r="F103">
            <v>7.8</v>
          </cell>
          <cell r="G103" t="str">
            <v>tonnes/m3</v>
          </cell>
          <cell r="I103">
            <v>1.46</v>
          </cell>
          <cell r="J103" t="str">
            <v>cradle to gate</v>
          </cell>
          <cell r="K103">
            <v>1</v>
          </cell>
          <cell r="L103">
            <v>1.46</v>
          </cell>
          <cell r="M103">
            <v>7.8</v>
          </cell>
        </row>
        <row r="104">
          <cell r="C104" t="str">
            <v>Steel: Bar &amp; rod - UK (EU) Average Recycled Content</v>
          </cell>
          <cell r="E104" t="str">
            <v>tonnes/m3</v>
          </cell>
          <cell r="F104">
            <v>7.8</v>
          </cell>
          <cell r="G104" t="str">
            <v>tonnes/m3</v>
          </cell>
          <cell r="I104">
            <v>1.4</v>
          </cell>
          <cell r="J104" t="str">
            <v>cradle to gate</v>
          </cell>
          <cell r="K104">
            <v>1</v>
          </cell>
          <cell r="L104">
            <v>1.4</v>
          </cell>
          <cell r="M104">
            <v>7.8</v>
          </cell>
        </row>
        <row r="105">
          <cell r="C105" t="str">
            <v>Steel: Coil (Sheet) - UK (EU) Average Recycled Content</v>
          </cell>
          <cell r="E105" t="str">
            <v>tonnes/m3</v>
          </cell>
          <cell r="F105">
            <v>7.8</v>
          </cell>
          <cell r="G105" t="str">
            <v>tonnes/m3</v>
          </cell>
          <cell r="I105">
            <v>1.38</v>
          </cell>
          <cell r="J105" t="str">
            <v>cradle to gate</v>
          </cell>
          <cell r="K105">
            <v>1</v>
          </cell>
          <cell r="L105">
            <v>1.38</v>
          </cell>
          <cell r="M105">
            <v>7.8</v>
          </cell>
        </row>
        <row r="106">
          <cell r="C106" t="str">
            <v>Steel: Coil (Sheet), Galvanised - UK (EU) Average Recycled Content</v>
          </cell>
          <cell r="E106" t="str">
            <v>tonnes/m3</v>
          </cell>
          <cell r="F106">
            <v>7.8</v>
          </cell>
          <cell r="G106" t="str">
            <v>tonnes/m3</v>
          </cell>
          <cell r="I106">
            <v>1.54</v>
          </cell>
          <cell r="J106" t="str">
            <v>cradle to gate</v>
          </cell>
          <cell r="K106">
            <v>1</v>
          </cell>
          <cell r="L106">
            <v>1.54</v>
          </cell>
          <cell r="M106">
            <v>7.8</v>
          </cell>
        </row>
        <row r="107">
          <cell r="C107" t="str">
            <v>Steel: Engineering steel - Recycled</v>
          </cell>
          <cell r="E107" t="str">
            <v>tonnes/m3</v>
          </cell>
          <cell r="F107">
            <v>7.8</v>
          </cell>
          <cell r="G107" t="str">
            <v>tonnes/m3</v>
          </cell>
          <cell r="I107">
            <v>0.72</v>
          </cell>
          <cell r="J107" t="str">
            <v>cradle to gate</v>
          </cell>
          <cell r="K107">
            <v>1</v>
          </cell>
          <cell r="L107">
            <v>0.72</v>
          </cell>
          <cell r="M107">
            <v>7.8</v>
          </cell>
        </row>
        <row r="108">
          <cell r="C108" t="str">
            <v>Steel: Pipe- UK (EU) Average Recycled Content</v>
          </cell>
          <cell r="E108" t="str">
            <v>tonnes/m3</v>
          </cell>
          <cell r="F108">
            <v>7.8</v>
          </cell>
          <cell r="G108" t="str">
            <v>tonnes/m3</v>
          </cell>
          <cell r="I108">
            <v>1.45</v>
          </cell>
          <cell r="J108" t="str">
            <v>cradle to gate</v>
          </cell>
          <cell r="K108">
            <v>1</v>
          </cell>
          <cell r="L108">
            <v>1.45</v>
          </cell>
          <cell r="M108">
            <v>7.8</v>
          </cell>
        </row>
        <row r="109">
          <cell r="C109" t="str">
            <v>Steel: Plate- UK (EU) Average Recycled Content</v>
          </cell>
          <cell r="E109" t="str">
            <v>tonnes/m3</v>
          </cell>
          <cell r="F109">
            <v>7.8</v>
          </cell>
          <cell r="G109" t="str">
            <v>tonnes/m3</v>
          </cell>
          <cell r="I109">
            <v>1.66</v>
          </cell>
          <cell r="J109" t="str">
            <v>cradle to gate</v>
          </cell>
          <cell r="K109">
            <v>1</v>
          </cell>
          <cell r="L109">
            <v>1.66</v>
          </cell>
          <cell r="M109">
            <v>7.8</v>
          </cell>
        </row>
        <row r="110">
          <cell r="C110" t="str">
            <v>Steel: Sections - UK (EU) Average Recycled Content</v>
          </cell>
          <cell r="E110" t="str">
            <v>tonnes/m3</v>
          </cell>
          <cell r="F110">
            <v>7.8</v>
          </cell>
          <cell r="G110" t="str">
            <v>tonnes/m3</v>
          </cell>
          <cell r="I110">
            <v>1.53</v>
          </cell>
          <cell r="J110" t="str">
            <v>cradle to gate</v>
          </cell>
          <cell r="K110">
            <v>1</v>
          </cell>
          <cell r="L110">
            <v>1.53</v>
          </cell>
          <cell r="M110">
            <v>7.8</v>
          </cell>
        </row>
        <row r="111">
          <cell r="C111" t="str">
            <v>Steel: Wire - Virgin</v>
          </cell>
          <cell r="E111" t="str">
            <v>tonnes/m3</v>
          </cell>
          <cell r="F111">
            <v>7.8</v>
          </cell>
          <cell r="G111" t="str">
            <v>tonnes/m3</v>
          </cell>
          <cell r="I111">
            <v>3.02</v>
          </cell>
          <cell r="J111" t="str">
            <v>cradle to gate</v>
          </cell>
          <cell r="K111">
            <v>1</v>
          </cell>
          <cell r="L111">
            <v>3.02</v>
          </cell>
          <cell r="M111">
            <v>7.8</v>
          </cell>
        </row>
        <row r="112">
          <cell r="C112" t="str">
            <v>Steel: Stainless</v>
          </cell>
          <cell r="E112" t="str">
            <v>tonnes/m3</v>
          </cell>
          <cell r="F112">
            <v>8</v>
          </cell>
          <cell r="G112" t="str">
            <v>tonnes/m3</v>
          </cell>
          <cell r="I112">
            <v>6.15</v>
          </cell>
          <cell r="J112" t="str">
            <v>cradle to gate</v>
          </cell>
          <cell r="K112" t="str">
            <v>1*</v>
          </cell>
          <cell r="L112">
            <v>6.15</v>
          </cell>
          <cell r="M112">
            <v>8</v>
          </cell>
        </row>
        <row r="113">
          <cell r="C113" t="str">
            <v>Steel: Reused steel</v>
          </cell>
          <cell r="E113" t="str">
            <v>tonnes/m3</v>
          </cell>
          <cell r="F113">
            <v>7.8</v>
          </cell>
          <cell r="G113" t="str">
            <v>tonnes/m3</v>
          </cell>
          <cell r="I113">
            <v>0.146</v>
          </cell>
          <cell r="J113" t="str">
            <v>cradle to gate</v>
          </cell>
          <cell r="K113">
            <v>1</v>
          </cell>
          <cell r="L113">
            <v>0.146</v>
          </cell>
          <cell r="M113">
            <v>7.8</v>
          </cell>
        </row>
        <row r="114">
          <cell r="C114" t="str">
            <v>Aluminium: General</v>
          </cell>
          <cell r="E114" t="str">
            <v>tonnes/m3</v>
          </cell>
          <cell r="F114">
            <v>2.7</v>
          </cell>
          <cell r="G114" t="str">
            <v>tonnes/m3</v>
          </cell>
          <cell r="I114">
            <v>9.16</v>
          </cell>
          <cell r="J114" t="str">
            <v>cradle to gate</v>
          </cell>
          <cell r="K114">
            <v>1</v>
          </cell>
          <cell r="L114">
            <v>9.16</v>
          </cell>
          <cell r="M114">
            <v>2.7</v>
          </cell>
        </row>
        <row r="115">
          <cell r="C115" t="str">
            <v>Aluminium: Cast Products</v>
          </cell>
          <cell r="E115" t="str">
            <v>tonnes/m3</v>
          </cell>
          <cell r="F115">
            <v>2.7</v>
          </cell>
          <cell r="G115" t="str">
            <v>tonnes/m3</v>
          </cell>
          <cell r="I115">
            <v>9.22</v>
          </cell>
          <cell r="J115" t="str">
            <v>cradle to gate</v>
          </cell>
          <cell r="K115">
            <v>1</v>
          </cell>
          <cell r="L115">
            <v>9.22</v>
          </cell>
          <cell r="M115">
            <v>2.7</v>
          </cell>
        </row>
        <row r="116">
          <cell r="C116" t="str">
            <v>Aluminium: Extruded</v>
          </cell>
          <cell r="E116" t="str">
            <v>tonnes/m3</v>
          </cell>
          <cell r="F116">
            <v>2.7</v>
          </cell>
          <cell r="G116" t="str">
            <v>tonnes/m3</v>
          </cell>
          <cell r="I116">
            <v>9.08</v>
          </cell>
          <cell r="J116" t="str">
            <v>cradle to gate</v>
          </cell>
          <cell r="K116">
            <v>1</v>
          </cell>
          <cell r="L116">
            <v>9.08</v>
          </cell>
          <cell r="M116">
            <v>2.7</v>
          </cell>
        </row>
        <row r="117">
          <cell r="C117" t="str">
            <v>Aluminium: Rolled</v>
          </cell>
          <cell r="E117" t="str">
            <v>tonnes/m3</v>
          </cell>
          <cell r="F117">
            <v>2.7</v>
          </cell>
          <cell r="G117" t="str">
            <v>tonnes/m3</v>
          </cell>
          <cell r="I117">
            <v>9.18</v>
          </cell>
          <cell r="J117" t="str">
            <v>cradle to gate</v>
          </cell>
          <cell r="K117">
            <v>1</v>
          </cell>
          <cell r="L117">
            <v>9.18</v>
          </cell>
          <cell r="M117">
            <v>2.7</v>
          </cell>
        </row>
        <row r="118">
          <cell r="C118" t="str">
            <v>Handrail: galvanised with fittings</v>
          </cell>
          <cell r="E118" t="str">
            <v>tonnes/m</v>
          </cell>
          <cell r="F118">
            <v>0.0115</v>
          </cell>
          <cell r="G118" t="str">
            <v>tonnes/m</v>
          </cell>
          <cell r="I118">
            <v>0.021545789496</v>
          </cell>
          <cell r="J118" t="str">
            <v>cradle to gate</v>
          </cell>
          <cell r="K118">
            <v>5</v>
          </cell>
          <cell r="L118">
            <v>0.021545789496</v>
          </cell>
          <cell r="M118">
            <v>0.0115</v>
          </cell>
        </row>
        <row r="119">
          <cell r="C119" t="str">
            <v>Handrail: stainless steel with fittings</v>
          </cell>
          <cell r="E119" t="str">
            <v>tonnes/m</v>
          </cell>
          <cell r="F119">
            <v>0.0115</v>
          </cell>
          <cell r="G119" t="str">
            <v>tonnes/m</v>
          </cell>
          <cell r="I119">
            <v>0.086</v>
          </cell>
          <cell r="J119" t="str">
            <v>cradle to gate</v>
          </cell>
          <cell r="K119">
            <v>5</v>
          </cell>
          <cell r="L119">
            <v>0.086</v>
          </cell>
          <cell r="M119">
            <v>0.0115</v>
          </cell>
        </row>
        <row r="120">
          <cell r="C120" t="str">
            <v>Handrail: stainless steel welded</v>
          </cell>
          <cell r="E120" t="str">
            <v>tonnes/m</v>
          </cell>
          <cell r="F120">
            <v>0.0105</v>
          </cell>
          <cell r="G120" t="str">
            <v>tonnes/m</v>
          </cell>
          <cell r="I120">
            <v>0.078</v>
          </cell>
          <cell r="J120" t="str">
            <v>cradle to gate</v>
          </cell>
          <cell r="K120">
            <v>5</v>
          </cell>
          <cell r="L120">
            <v>0.078</v>
          </cell>
          <cell r="M120">
            <v>0.0105</v>
          </cell>
        </row>
        <row r="121">
          <cell r="C121" t="str">
            <v>Sheet piling: light use</v>
          </cell>
          <cell r="E121" t="str">
            <v>tonnes/m2</v>
          </cell>
          <cell r="F121">
            <v>0.1</v>
          </cell>
          <cell r="G121" t="str">
            <v>tonnes/m2</v>
          </cell>
          <cell r="I121">
            <v>0.1180483</v>
          </cell>
          <cell r="J121" t="str">
            <v>cradle to gate</v>
          </cell>
          <cell r="K121">
            <v>5</v>
          </cell>
          <cell r="L121">
            <v>0.1180483</v>
          </cell>
          <cell r="M121">
            <v>0.1</v>
          </cell>
        </row>
        <row r="122">
          <cell r="C122" t="str">
            <v>Sheet piling: medium use</v>
          </cell>
          <cell r="E122" t="str">
            <v>tonnes/m2</v>
          </cell>
          <cell r="F122">
            <v>0.13</v>
          </cell>
          <cell r="G122" t="str">
            <v>tonnes/m2</v>
          </cell>
          <cell r="I122">
            <v>0.1525992</v>
          </cell>
          <cell r="J122" t="str">
            <v>cradle to gate</v>
          </cell>
          <cell r="K122">
            <v>5</v>
          </cell>
          <cell r="L122">
            <v>0.1525992</v>
          </cell>
          <cell r="M122">
            <v>0.13</v>
          </cell>
        </row>
        <row r="123">
          <cell r="C123" t="str">
            <v>Sheet piling: heavy use</v>
          </cell>
          <cell r="E123" t="str">
            <v>tonnes/m2</v>
          </cell>
          <cell r="F123">
            <v>0.19</v>
          </cell>
          <cell r="G123" t="str">
            <v>tonnes/m2</v>
          </cell>
          <cell r="I123">
            <v>0.204984</v>
          </cell>
          <cell r="J123" t="str">
            <v>cradle to gate</v>
          </cell>
          <cell r="K123">
            <v>5</v>
          </cell>
          <cell r="L123">
            <v>0.204984</v>
          </cell>
          <cell r="M123">
            <v>0.19</v>
          </cell>
        </row>
        <row r="124">
          <cell r="C124" t="str">
            <v>Flap valves: DN 100 &amp; DN 150</v>
          </cell>
          <cell r="E124" t="str">
            <v>tonnes/1</v>
          </cell>
          <cell r="F124">
            <v>0.008</v>
          </cell>
          <cell r="G124" t="str">
            <v>tonnes/1</v>
          </cell>
          <cell r="I124">
            <v>0.0081</v>
          </cell>
          <cell r="J124" t="str">
            <v>cradle to gate</v>
          </cell>
          <cell r="K124">
            <v>5</v>
          </cell>
          <cell r="L124">
            <v>0.0081</v>
          </cell>
          <cell r="M124">
            <v>0.008</v>
          </cell>
        </row>
        <row r="125">
          <cell r="C125" t="str">
            <v>Flap valves: DN 200 &amp; DN 300</v>
          </cell>
          <cell r="E125" t="str">
            <v>tonnes/1</v>
          </cell>
          <cell r="F125">
            <v>0.02</v>
          </cell>
          <cell r="G125" t="str">
            <v>tonnes/1</v>
          </cell>
          <cell r="I125">
            <v>0.02</v>
          </cell>
          <cell r="J125" t="str">
            <v>cradle to gate</v>
          </cell>
          <cell r="K125">
            <v>5</v>
          </cell>
          <cell r="L125">
            <v>0.02</v>
          </cell>
          <cell r="M125">
            <v>0.02</v>
          </cell>
        </row>
        <row r="126">
          <cell r="C126" t="str">
            <v>Flap valves: DN 500</v>
          </cell>
          <cell r="E126" t="str">
            <v>tonnes/1</v>
          </cell>
          <cell r="F126">
            <v>0.06</v>
          </cell>
          <cell r="G126" t="str">
            <v>tonnes/1</v>
          </cell>
          <cell r="I126">
            <v>0.06</v>
          </cell>
          <cell r="J126" t="str">
            <v>cradle to gate</v>
          </cell>
          <cell r="K126">
            <v>5</v>
          </cell>
          <cell r="L126">
            <v>0.06</v>
          </cell>
          <cell r="M126">
            <v>0.06</v>
          </cell>
        </row>
        <row r="127">
          <cell r="C127" t="str">
            <v>Primary glass</v>
          </cell>
          <cell r="E127" t="str">
            <v>tonnes/m3</v>
          </cell>
          <cell r="F127">
            <v>2.5</v>
          </cell>
          <cell r="G127" t="str">
            <v>tonnes/m3</v>
          </cell>
          <cell r="I127">
            <v>0.91</v>
          </cell>
          <cell r="J127" t="str">
            <v>cradle to gate</v>
          </cell>
          <cell r="K127">
            <v>1</v>
          </cell>
          <cell r="L127">
            <v>0.91</v>
          </cell>
          <cell r="M127">
            <v>2.5</v>
          </cell>
        </row>
        <row r="128">
          <cell r="C128" t="str">
            <v>Secondary glass</v>
          </cell>
          <cell r="E128" t="str">
            <v>tonnes/m3</v>
          </cell>
          <cell r="F128">
            <v>2.5</v>
          </cell>
          <cell r="G128" t="str">
            <v>tonnes/m3</v>
          </cell>
          <cell r="I128">
            <v>0.59</v>
          </cell>
          <cell r="J128" t="str">
            <v>cradle to gate</v>
          </cell>
          <cell r="K128">
            <v>1</v>
          </cell>
          <cell r="L128">
            <v>0.59</v>
          </cell>
          <cell r="M128">
            <v>2.5</v>
          </cell>
        </row>
        <row r="129">
          <cell r="C129" t="str">
            <v>Fibreglass (glasswool)</v>
          </cell>
          <cell r="E129" t="str">
            <v>tonnes/m3</v>
          </cell>
          <cell r="F129">
            <v>0.024</v>
          </cell>
          <cell r="G129" t="str">
            <v>tonnes/m3</v>
          </cell>
          <cell r="I129">
            <v>1.54</v>
          </cell>
          <cell r="J129" t="str">
            <v>cradle to gate</v>
          </cell>
          <cell r="K129" t="str">
            <v>1*</v>
          </cell>
          <cell r="L129">
            <v>1.54</v>
          </cell>
          <cell r="M129">
            <v>0.024</v>
          </cell>
        </row>
        <row r="130">
          <cell r="C130" t="str">
            <v>Toughened glass</v>
          </cell>
          <cell r="E130" t="str">
            <v>tonnes/m3</v>
          </cell>
          <cell r="F130">
            <v>2.5</v>
          </cell>
          <cell r="G130" t="str">
            <v>tonnes/m3</v>
          </cell>
          <cell r="I130">
            <v>1.35</v>
          </cell>
          <cell r="J130" t="str">
            <v>cradle to gate</v>
          </cell>
          <cell r="K130">
            <v>1</v>
          </cell>
          <cell r="L130">
            <v>1.35</v>
          </cell>
          <cell r="M130">
            <v>2.5</v>
          </cell>
        </row>
        <row r="131">
          <cell r="C131" t="str">
            <v>Paint: general</v>
          </cell>
          <cell r="E131" t="str">
            <v>tonnes/m3</v>
          </cell>
          <cell r="F131">
            <v>1.225</v>
          </cell>
          <cell r="G131" t="str">
            <v>tonnes/m3</v>
          </cell>
          <cell r="I131">
            <v>2.91</v>
          </cell>
          <cell r="J131" t="str">
            <v>cradle to gate</v>
          </cell>
          <cell r="K131">
            <v>1</v>
          </cell>
          <cell r="L131">
            <v>2.91</v>
          </cell>
          <cell r="M131">
            <v>1.225</v>
          </cell>
        </row>
        <row r="132">
          <cell r="C132" t="str">
            <v>Waterborne paint</v>
          </cell>
          <cell r="E132" t="str">
            <v>tonnes/m3</v>
          </cell>
          <cell r="F132">
            <v>1.25</v>
          </cell>
          <cell r="G132" t="str">
            <v>tonnes/m3</v>
          </cell>
          <cell r="I132">
            <v>2.54</v>
          </cell>
          <cell r="J132" t="str">
            <v>cradle to gate</v>
          </cell>
          <cell r="K132">
            <v>1</v>
          </cell>
          <cell r="L132">
            <v>2.54</v>
          </cell>
          <cell r="M132">
            <v>1.25</v>
          </cell>
        </row>
        <row r="133">
          <cell r="C133" t="str">
            <v>Solventborne paint</v>
          </cell>
          <cell r="E133" t="str">
            <v>tonnes/m3</v>
          </cell>
          <cell r="F133">
            <v>1.2</v>
          </cell>
          <cell r="G133" t="str">
            <v>tonnes/m3</v>
          </cell>
          <cell r="I133">
            <v>3.76</v>
          </cell>
          <cell r="J133" t="str">
            <v>cradle to gate</v>
          </cell>
          <cell r="K133">
            <v>1</v>
          </cell>
          <cell r="L133">
            <v>3.76</v>
          </cell>
          <cell r="M133">
            <v>1.2</v>
          </cell>
        </row>
        <row r="134">
          <cell r="C134" t="str">
            <v>Epoxide resin</v>
          </cell>
          <cell r="E134" t="str">
            <v>tonnes/m3</v>
          </cell>
          <cell r="F134">
            <v>1.19</v>
          </cell>
          <cell r="G134" t="str">
            <v>tonnes/m3</v>
          </cell>
          <cell r="I134">
            <v>5.7</v>
          </cell>
          <cell r="J134" t="str">
            <v>cradle to gate</v>
          </cell>
          <cell r="K134" t="str">
            <v>1*</v>
          </cell>
          <cell r="L134">
            <v>5.7</v>
          </cell>
          <cell r="M134">
            <v>1.19</v>
          </cell>
        </row>
        <row r="135">
          <cell r="C135" t="str">
            <v>Damp Proof Course/Membrane</v>
          </cell>
          <cell r="E135" t="str">
            <v>tonnes/m2</v>
          </cell>
          <cell r="F135">
            <v>0.0009</v>
          </cell>
          <cell r="G135" t="str">
            <v>tonnes/m2</v>
          </cell>
          <cell r="I135">
            <v>4.2</v>
          </cell>
          <cell r="J135" t="str">
            <v>cradle to gate</v>
          </cell>
          <cell r="K135" t="str">
            <v>1*</v>
          </cell>
          <cell r="L135">
            <v>4.2</v>
          </cell>
          <cell r="M135">
            <v>0.0009</v>
          </cell>
        </row>
        <row r="136">
          <cell r="C136" t="str">
            <v>Rubber</v>
          </cell>
          <cell r="E136" t="str">
            <v>tonnes/m3</v>
          </cell>
          <cell r="F136">
            <v>1.5</v>
          </cell>
          <cell r="G136" t="str">
            <v>tonnes/m3</v>
          </cell>
          <cell r="I136">
            <v>2.85</v>
          </cell>
          <cell r="J136" t="str">
            <v>cradle to gate</v>
          </cell>
          <cell r="K136">
            <v>1</v>
          </cell>
          <cell r="L136">
            <v>2.85</v>
          </cell>
          <cell r="M136">
            <v>1.5</v>
          </cell>
        </row>
        <row r="137">
          <cell r="C137" t="str">
            <v>Grit</v>
          </cell>
          <cell r="E137" t="str">
            <v>tonnes/m3</v>
          </cell>
          <cell r="F137">
            <v>2</v>
          </cell>
          <cell r="G137" t="str">
            <v>tonnes/m3</v>
          </cell>
          <cell r="I137">
            <v>0.007</v>
          </cell>
          <cell r="J137" t="str">
            <v>cradle to gate</v>
          </cell>
          <cell r="K137" t="str">
            <v>1*</v>
          </cell>
          <cell r="L137">
            <v>0.007</v>
          </cell>
          <cell r="M137">
            <v>2</v>
          </cell>
        </row>
        <row r="138">
          <cell r="C138" t="str">
            <v>Ground limestone</v>
          </cell>
          <cell r="E138" t="str">
            <v>tonnes/m3</v>
          </cell>
          <cell r="F138">
            <v>0.945089338796644</v>
          </cell>
          <cell r="G138" t="str">
            <v>tonnes/m3</v>
          </cell>
          <cell r="I138">
            <v>0.032</v>
          </cell>
          <cell r="J138" t="str">
            <v>cradle to gate</v>
          </cell>
          <cell r="K138">
            <v>1</v>
          </cell>
          <cell r="L138">
            <v>0.032</v>
          </cell>
          <cell r="M138">
            <v>0.945089338796644</v>
          </cell>
        </row>
        <row r="139">
          <cell r="C139" t="str">
            <v>Glass Reinforced Plastic - GRP - Fibreglass</v>
          </cell>
          <cell r="E139" t="str">
            <v>tonnes/m3</v>
          </cell>
          <cell r="F139">
            <v>1.74</v>
          </cell>
          <cell r="G139" t="str">
            <v>tonnes/m3</v>
          </cell>
          <cell r="I139">
            <v>8.1</v>
          </cell>
          <cell r="J139" t="str">
            <v>cradle to gate</v>
          </cell>
          <cell r="K139">
            <v>1</v>
          </cell>
          <cell r="L139">
            <v>8.1</v>
          </cell>
          <cell r="M139">
            <v>1.74</v>
          </cell>
        </row>
        <row r="140">
          <cell r="C140" t="str">
            <v>Insulation: general</v>
          </cell>
          <cell r="E140" t="str">
            <v>tonnes/m3</v>
          </cell>
          <cell r="F140">
            <v>0.04</v>
          </cell>
          <cell r="G140" t="str">
            <v>tonnes/m3</v>
          </cell>
          <cell r="I140">
            <v>1.86</v>
          </cell>
          <cell r="J140" t="str">
            <v>cradle to gate</v>
          </cell>
          <cell r="K140" t="str">
            <v>1*</v>
          </cell>
          <cell r="L140">
            <v>1.86</v>
          </cell>
          <cell r="M140">
            <v>0.04</v>
          </cell>
        </row>
        <row r="141">
          <cell r="C141" t="str">
            <v>Insulation: fibreglass (glasswool)</v>
          </cell>
          <cell r="E141" t="str">
            <v>tonnes/m3</v>
          </cell>
          <cell r="F141">
            <v>0.045</v>
          </cell>
          <cell r="G141" t="str">
            <v>tonnes/m3</v>
          </cell>
          <cell r="I141">
            <v>1.35</v>
          </cell>
          <cell r="J141" t="str">
            <v>cradle to site</v>
          </cell>
          <cell r="K141" t="str">
            <v>1*</v>
          </cell>
          <cell r="L141">
            <v>1.35</v>
          </cell>
          <cell r="M141">
            <v>0.045</v>
          </cell>
        </row>
        <row r="142">
          <cell r="C142" t="str">
            <v>Insulation: polystyrene</v>
          </cell>
          <cell r="E142" t="str">
            <v>tonnes/m3</v>
          </cell>
          <cell r="F142">
            <v>0.037</v>
          </cell>
          <cell r="G142" t="str">
            <v>tonnes/m3</v>
          </cell>
          <cell r="I142">
            <v>3.43</v>
          </cell>
          <cell r="J142" t="str">
            <v>cradle to gate</v>
          </cell>
          <cell r="K142">
            <v>1</v>
          </cell>
          <cell r="L142">
            <v>3.43</v>
          </cell>
          <cell r="M142">
            <v>0.037</v>
          </cell>
        </row>
        <row r="143">
          <cell r="C143" t="str">
            <v>Insulation: polyurethane</v>
          </cell>
          <cell r="E143" t="str">
            <v>tonnes/m3</v>
          </cell>
          <cell r="F143">
            <v>0.03</v>
          </cell>
          <cell r="G143" t="str">
            <v>tonnes/m3</v>
          </cell>
          <cell r="I143">
            <v>4.84</v>
          </cell>
          <cell r="J143" t="str">
            <v>cradle to gate</v>
          </cell>
          <cell r="K143">
            <v>1</v>
          </cell>
          <cell r="L143">
            <v>4.84</v>
          </cell>
          <cell r="M143">
            <v>0.03</v>
          </cell>
        </row>
        <row r="144">
          <cell r="C144" t="str">
            <v>Plaster: general (Gypsum)</v>
          </cell>
          <cell r="E144" t="str">
            <v>tonnes/m3</v>
          </cell>
          <cell r="F144">
            <v>1.3</v>
          </cell>
          <cell r="G144" t="str">
            <v>tonnes/m3</v>
          </cell>
          <cell r="I144">
            <v>0.13</v>
          </cell>
          <cell r="J144" t="str">
            <v>cradle to gate</v>
          </cell>
          <cell r="K144">
            <v>1</v>
          </cell>
          <cell r="L144">
            <v>0.13</v>
          </cell>
          <cell r="M144">
            <v>1.3</v>
          </cell>
        </row>
        <row r="145">
          <cell r="C145" t="str">
            <v>Plasterboard</v>
          </cell>
          <cell r="E145" t="str">
            <v>tonnes/m3</v>
          </cell>
          <cell r="F145">
            <v>0.95</v>
          </cell>
          <cell r="G145" t="str">
            <v>tonnes/m3</v>
          </cell>
          <cell r="I145">
            <v>0.39</v>
          </cell>
          <cell r="J145" t="str">
            <v>cradle to gate</v>
          </cell>
          <cell r="K145">
            <v>1</v>
          </cell>
          <cell r="L145">
            <v>0.39</v>
          </cell>
          <cell r="M145">
            <v>0.92</v>
          </cell>
        </row>
        <row r="146">
          <cell r="C146" t="str">
            <v>Plastics: general</v>
          </cell>
          <cell r="E146" t="str">
            <v>tonnes/m3</v>
          </cell>
          <cell r="F146">
            <v>1.38</v>
          </cell>
          <cell r="G146" t="str">
            <v>tonnes/m3</v>
          </cell>
          <cell r="I146">
            <v>3.31</v>
          </cell>
          <cell r="J146" t="str">
            <v>cradle to gate</v>
          </cell>
          <cell r="K146">
            <v>1</v>
          </cell>
          <cell r="L146">
            <v>3.31</v>
          </cell>
          <cell r="M146">
            <v>0.96</v>
          </cell>
        </row>
        <row r="147">
          <cell r="C147" t="str">
            <v>Polyethylene: general</v>
          </cell>
          <cell r="E147" t="str">
            <v>tonnes/m3</v>
          </cell>
          <cell r="F147">
            <v>0.92</v>
          </cell>
          <cell r="G147" t="str">
            <v>tonnes/m3</v>
          </cell>
          <cell r="I147">
            <v>2.54</v>
          </cell>
          <cell r="J147" t="str">
            <v>cradle to gate</v>
          </cell>
          <cell r="K147">
            <v>1</v>
          </cell>
          <cell r="L147">
            <v>2.54</v>
          </cell>
          <cell r="M147">
            <v>1.05</v>
          </cell>
        </row>
        <row r="148">
          <cell r="C148" t="str">
            <v>High Density Polyethylene (HDPE) Resin</v>
          </cell>
          <cell r="E148" t="str">
            <v>tonnes/m3</v>
          </cell>
          <cell r="F148">
            <v>0.96</v>
          </cell>
          <cell r="G148" t="str">
            <v>tonnes/m3</v>
          </cell>
          <cell r="I148">
            <v>1.93</v>
          </cell>
          <cell r="J148" t="str">
            <v>cradle to gate</v>
          </cell>
          <cell r="K148">
            <v>1</v>
          </cell>
          <cell r="L148">
            <v>1.93</v>
          </cell>
          <cell r="M148">
            <v>1.05</v>
          </cell>
        </row>
        <row r="149">
          <cell r="C149" t="str">
            <v>HDPE Pipe</v>
          </cell>
          <cell r="E149" t="str">
            <v>tonnes/m3</v>
          </cell>
          <cell r="F149">
            <v>1.05</v>
          </cell>
          <cell r="G149" t="str">
            <v>tonnes/m3</v>
          </cell>
          <cell r="I149">
            <v>2.52</v>
          </cell>
          <cell r="J149" t="str">
            <v>cradle to gate</v>
          </cell>
          <cell r="K149">
            <v>1</v>
          </cell>
          <cell r="L149">
            <v>2.52</v>
          </cell>
          <cell r="M149">
            <v>1.05</v>
          </cell>
        </row>
        <row r="150">
          <cell r="C150" t="str">
            <v>Expanded Polystyrene</v>
          </cell>
          <cell r="E150" t="str">
            <v>tonnes/m3</v>
          </cell>
          <cell r="F150">
            <v>1.05</v>
          </cell>
          <cell r="G150" t="str">
            <v>tonnes/m3</v>
          </cell>
          <cell r="I150">
            <v>3.29</v>
          </cell>
          <cell r="J150" t="str">
            <v>cradle to gate</v>
          </cell>
          <cell r="K150">
            <v>1</v>
          </cell>
          <cell r="L150">
            <v>3.29</v>
          </cell>
          <cell r="M150">
            <v>1.05</v>
          </cell>
        </row>
        <row r="151">
          <cell r="C151" t="str">
            <v>General Purpose Polystyrene</v>
          </cell>
          <cell r="E151" t="str">
            <v>tonnes/m3</v>
          </cell>
          <cell r="F151">
            <v>1.05</v>
          </cell>
          <cell r="G151" t="str">
            <v>tonnes/m3</v>
          </cell>
          <cell r="I151">
            <v>3.43</v>
          </cell>
          <cell r="J151" t="str">
            <v>cradle to gate</v>
          </cell>
          <cell r="K151">
            <v>1</v>
          </cell>
          <cell r="L151">
            <v>3.43</v>
          </cell>
          <cell r="M151">
            <v>1.38</v>
          </cell>
        </row>
        <row r="152">
          <cell r="C152" t="str">
            <v>High Impact Polystyrene</v>
          </cell>
          <cell r="E152" t="str">
            <v>tonnes/m3</v>
          </cell>
          <cell r="F152">
            <v>1.05</v>
          </cell>
          <cell r="G152" t="str">
            <v>tonnes/m3</v>
          </cell>
          <cell r="I152">
            <v>3.42</v>
          </cell>
          <cell r="J152" t="str">
            <v>cradle to gate</v>
          </cell>
          <cell r="K152">
            <v>1</v>
          </cell>
          <cell r="L152">
            <v>3.42</v>
          </cell>
          <cell r="M152">
            <v>1.41</v>
          </cell>
        </row>
        <row r="153">
          <cell r="C153" t="str">
            <v>PVC: general</v>
          </cell>
          <cell r="E153" t="str">
            <v>tonnes/m3</v>
          </cell>
          <cell r="F153">
            <v>1.38</v>
          </cell>
          <cell r="G153" t="str">
            <v>tonnes/m3</v>
          </cell>
          <cell r="I153">
            <v>3.1</v>
          </cell>
          <cell r="J153" t="str">
            <v>cradle to gate</v>
          </cell>
          <cell r="K153">
            <v>1</v>
          </cell>
          <cell r="L153">
            <v>3.1</v>
          </cell>
          <cell r="M153">
            <v>0</v>
          </cell>
        </row>
        <row r="154">
          <cell r="C154" t="str">
            <v>PVC Pipe</v>
          </cell>
          <cell r="E154" t="str">
            <v>tonnes/m3</v>
          </cell>
          <cell r="F154">
            <v>1.41</v>
          </cell>
          <cell r="G154" t="str">
            <v>tonnes/m3</v>
          </cell>
          <cell r="I154">
            <v>3.23</v>
          </cell>
          <cell r="J154" t="str">
            <v>cradle to gate</v>
          </cell>
          <cell r="K154">
            <v>1</v>
          </cell>
          <cell r="L154">
            <v>3.23</v>
          </cell>
          <cell r="M154">
            <v>0.83</v>
          </cell>
        </row>
        <row r="164">
          <cell r="C164" t="str">
            <v>Road</v>
          </cell>
          <cell r="D164" t="str">
            <v>-</v>
          </cell>
          <cell r="F164" t="str">
            <v>-</v>
          </cell>
          <cell r="I164">
            <v>0.00010672</v>
          </cell>
          <cell r="J164" t="str">
            <v>combustion</v>
          </cell>
          <cell r="K164">
            <v>8</v>
          </cell>
          <cell r="L164">
            <v>0.00010672</v>
          </cell>
        </row>
        <row r="165">
          <cell r="C165" t="str">
            <v>Rail</v>
          </cell>
          <cell r="D165" t="str">
            <v>-</v>
          </cell>
          <cell r="F165" t="str">
            <v>-</v>
          </cell>
          <cell r="I165">
            <v>3.694E-05</v>
          </cell>
          <cell r="J165" t="str">
            <v>combustion</v>
          </cell>
          <cell r="K165">
            <v>8</v>
          </cell>
          <cell r="L165">
            <v>3.694E-05</v>
          </cell>
        </row>
        <row r="166">
          <cell r="C166" t="str">
            <v>Water</v>
          </cell>
          <cell r="D166" t="str">
            <v>-</v>
          </cell>
          <cell r="F166" t="str">
            <v>-</v>
          </cell>
          <cell r="I166">
            <v>1.5360000000000002E-05</v>
          </cell>
          <cell r="J166" t="str">
            <v>combustion</v>
          </cell>
          <cell r="K166">
            <v>8</v>
          </cell>
          <cell r="L166">
            <v>1.5360000000000002E-05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lanatory flow cha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ser Guide"/>
      <sheetName val="Construction Input"/>
      <sheetName val="Personnel Travel Input"/>
      <sheetName val="Data"/>
      <sheetName val="Report"/>
      <sheetName val="Optioneering"/>
      <sheetName val="References"/>
      <sheetName val="User Calculations"/>
      <sheetName val="Further Guidance"/>
      <sheetName val="Revision Log"/>
    </sheetNames>
    <sheetDataSet>
      <sheetData sheetId="3">
        <row r="132">
          <cell r="B132" t="str">
            <v>Road</v>
          </cell>
        </row>
        <row r="133">
          <cell r="B133" t="str">
            <v>Rail</v>
          </cell>
        </row>
        <row r="134">
          <cell r="B134" t="str">
            <v>Water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qp.co.uk/low-energy-asphalt.htm" TargetMode="External" /><Relationship Id="rId2" Type="http://schemas.openxmlformats.org/officeDocument/2006/relationships/hyperlink" Target="http://www.mqp.co.uk/low-energy-asphalt.htm" TargetMode="External" /><Relationship Id="rId3" Type="http://schemas.openxmlformats.org/officeDocument/2006/relationships/hyperlink" Target="http://www.mqp.co.uk/low-energy-asphalt.htm" TargetMode="External" /><Relationship Id="rId4" Type="http://schemas.openxmlformats.org/officeDocument/2006/relationships/hyperlink" Target="http://www.mqp.co.uk/low-energy-asphalt.htm" TargetMode="External" /><Relationship Id="rId5" Type="http://schemas.openxmlformats.org/officeDocument/2006/relationships/hyperlink" Target="http://www.mqp.co.uk/low-energy-asphalt.htm" TargetMode="Externa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qp.co.uk/low-energy-asphalt.htm" TargetMode="External" /><Relationship Id="rId2" Type="http://schemas.openxmlformats.org/officeDocument/2006/relationships/hyperlink" Target="https://www.diydata.com/general_building/brick_calculator/brick_calculator.php" TargetMode="External" /><Relationship Id="rId3" Type="http://schemas.openxmlformats.org/officeDocument/2006/relationships/hyperlink" Target="https://www.diydata.com/general_building/brick_calculator/brick_calculator.php" TargetMode="Externa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view="pageBreakPreview" zoomScale="70" zoomScaleSheetLayoutView="70" workbookViewId="0" topLeftCell="A1">
      <pane xSplit="2" ySplit="3" topLeftCell="C4" activePane="bottomRight" state="frozen"/>
      <selection pane="topLeft" activeCell="J8" sqref="J8"/>
      <selection pane="topRight" activeCell="J8" sqref="J8"/>
      <selection pane="bottomLeft" activeCell="J8" sqref="J8"/>
      <selection pane="bottomRight" activeCell="J11" sqref="J11"/>
    </sheetView>
  </sheetViews>
  <sheetFormatPr defaultColWidth="9.140625" defaultRowHeight="12.75"/>
  <cols>
    <col min="1" max="1" width="12.7109375" style="9" customWidth="1"/>
    <col min="2" max="2" width="20.7109375" style="10" customWidth="1"/>
    <col min="3" max="3" width="12.7109375" style="137" customWidth="1"/>
    <col min="4" max="4" width="12.7109375" style="10" customWidth="1"/>
    <col min="5" max="6" width="12.7109375" style="9" customWidth="1"/>
    <col min="7" max="7" width="20.7109375" style="10" customWidth="1"/>
    <col min="8" max="8" width="14.57421875" style="10" customWidth="1"/>
    <col min="9" max="11" width="15.8515625" style="10" customWidth="1"/>
    <col min="12" max="12" width="15.8515625" style="10" hidden="1" customWidth="1"/>
    <col min="13" max="13" width="15.00390625" style="10" hidden="1" customWidth="1"/>
    <col min="14" max="14" width="12.7109375" style="10" hidden="1" customWidth="1"/>
    <col min="15" max="15" width="28.7109375" style="10" hidden="1" customWidth="1"/>
    <col min="16" max="16" width="14.28125" style="10" hidden="1" customWidth="1"/>
    <col min="17" max="17" width="14.28125" style="95" customWidth="1"/>
    <col min="18" max="18" width="14.8515625" style="95" customWidth="1"/>
    <col min="19" max="19" width="14.8515625" style="35" customWidth="1"/>
    <col min="20" max="21" width="12.7109375" style="10" customWidth="1"/>
    <col min="22" max="22" width="15.00390625" style="10" customWidth="1"/>
    <col min="23" max="23" width="33.140625" style="10" customWidth="1"/>
    <col min="24" max="24" width="17.140625" style="10" hidden="1" customWidth="1"/>
    <col min="25" max="25" width="12.7109375" style="10" hidden="1" customWidth="1"/>
    <col min="26" max="26" width="36.140625" style="10" customWidth="1"/>
    <col min="27" max="27" width="19.7109375" style="11" customWidth="1"/>
    <col min="28" max="30" width="9.140625" style="1" customWidth="1"/>
    <col min="31" max="33" width="9.140625" style="2" customWidth="1"/>
  </cols>
  <sheetData>
    <row r="1" ht="12.75">
      <c r="W1" s="152"/>
    </row>
    <row r="2" ht="19.5" customHeight="1" thickBot="1"/>
    <row r="3" spans="1:27" ht="57" thickBot="1">
      <c r="A3" s="92" t="s">
        <v>0</v>
      </c>
      <c r="B3" s="93" t="s">
        <v>6</v>
      </c>
      <c r="C3" s="138" t="s">
        <v>240</v>
      </c>
      <c r="D3" s="93" t="s">
        <v>10</v>
      </c>
      <c r="E3" s="93" t="s">
        <v>74</v>
      </c>
      <c r="F3" s="93" t="s">
        <v>73</v>
      </c>
      <c r="G3" s="93" t="s">
        <v>72</v>
      </c>
      <c r="H3" s="93" t="s">
        <v>51</v>
      </c>
      <c r="I3" s="93" t="s">
        <v>269</v>
      </c>
      <c r="J3" s="93" t="s">
        <v>283</v>
      </c>
      <c r="K3" s="93" t="s">
        <v>5</v>
      </c>
      <c r="L3" s="93" t="s">
        <v>268</v>
      </c>
      <c r="M3" s="93" t="s">
        <v>198</v>
      </c>
      <c r="N3" s="93" t="s">
        <v>5</v>
      </c>
      <c r="O3" s="93" t="s">
        <v>234</v>
      </c>
      <c r="P3" s="93" t="s">
        <v>236</v>
      </c>
      <c r="Q3" s="96" t="s">
        <v>235</v>
      </c>
      <c r="R3" s="96" t="s">
        <v>133</v>
      </c>
      <c r="S3" s="244" t="s">
        <v>386</v>
      </c>
      <c r="T3" s="93" t="s">
        <v>2</v>
      </c>
      <c r="U3" s="93" t="s">
        <v>3</v>
      </c>
      <c r="V3" s="93" t="s">
        <v>50</v>
      </c>
      <c r="W3" s="93" t="s">
        <v>159</v>
      </c>
      <c r="X3" s="93" t="s">
        <v>249</v>
      </c>
      <c r="Y3" s="93" t="s">
        <v>4</v>
      </c>
      <c r="Z3" s="93" t="s">
        <v>7</v>
      </c>
      <c r="AA3" s="94" t="s">
        <v>138</v>
      </c>
    </row>
    <row r="4" spans="1:27" ht="13.5" thickBot="1">
      <c r="A4" s="268" t="s">
        <v>84</v>
      </c>
      <c r="B4" s="134"/>
      <c r="C4" s="207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208"/>
      <c r="R4" s="208"/>
      <c r="S4" s="209"/>
      <c r="T4" s="151"/>
      <c r="U4" s="151"/>
      <c r="V4" s="151"/>
      <c r="W4" s="151"/>
      <c r="X4" s="151"/>
      <c r="Y4" s="151"/>
      <c r="Z4" s="151"/>
      <c r="AA4" s="269"/>
    </row>
    <row r="5" spans="1:33" s="132" customFormat="1" ht="51">
      <c r="A5" s="309" t="s">
        <v>8</v>
      </c>
      <c r="B5" s="301" t="s">
        <v>364</v>
      </c>
      <c r="C5" s="313">
        <f>3784+3150+5758+830</f>
        <v>13522</v>
      </c>
      <c r="D5" s="312" t="s">
        <v>11</v>
      </c>
      <c r="E5" s="312" t="s">
        <v>75</v>
      </c>
      <c r="F5" s="312" t="s">
        <v>75</v>
      </c>
      <c r="G5" s="160" t="s">
        <v>322</v>
      </c>
      <c r="H5" s="160" t="s">
        <v>76</v>
      </c>
      <c r="I5" s="160" t="s">
        <v>354</v>
      </c>
      <c r="J5" s="160"/>
      <c r="K5" s="160"/>
      <c r="L5" s="160"/>
      <c r="M5" s="160"/>
      <c r="N5" s="160"/>
      <c r="O5" s="160" t="s">
        <v>328</v>
      </c>
      <c r="P5" s="160" t="s">
        <v>326</v>
      </c>
      <c r="Q5" s="161">
        <f>70/9.92</f>
        <v>7.056451612903226</v>
      </c>
      <c r="R5" s="161">
        <v>0.07</v>
      </c>
      <c r="S5" s="162">
        <f>Q5*C5</f>
        <v>95417.33870967742</v>
      </c>
      <c r="T5" s="160" t="s">
        <v>75</v>
      </c>
      <c r="U5" s="20" t="s">
        <v>208</v>
      </c>
      <c r="V5" s="160"/>
      <c r="W5" s="160" t="s">
        <v>355</v>
      </c>
      <c r="X5" s="160"/>
      <c r="Y5" s="160"/>
      <c r="Z5" s="184"/>
      <c r="AA5" s="211" t="s">
        <v>215</v>
      </c>
      <c r="AB5" s="1"/>
      <c r="AC5" s="1"/>
      <c r="AD5" s="1"/>
      <c r="AE5" s="1"/>
      <c r="AF5" s="1"/>
      <c r="AG5" s="1"/>
    </row>
    <row r="6" spans="1:33" s="132" customFormat="1" ht="63.75">
      <c r="A6" s="311"/>
      <c r="B6" s="312"/>
      <c r="C6" s="313"/>
      <c r="D6" s="312"/>
      <c r="E6" s="312"/>
      <c r="F6" s="312"/>
      <c r="G6" s="15" t="s">
        <v>321</v>
      </c>
      <c r="H6" s="15" t="s">
        <v>214</v>
      </c>
      <c r="I6" s="15" t="s">
        <v>354</v>
      </c>
      <c r="J6" s="14"/>
      <c r="K6" s="14"/>
      <c r="L6" s="15"/>
      <c r="M6" s="15"/>
      <c r="N6" s="15"/>
      <c r="O6" s="15" t="s">
        <v>327</v>
      </c>
      <c r="P6" s="15" t="s">
        <v>325</v>
      </c>
      <c r="Q6" s="99">
        <f>68/12.97</f>
        <v>5.242868157286044</v>
      </c>
      <c r="R6" s="99">
        <v>0.068</v>
      </c>
      <c r="S6" s="36">
        <f>Q6*C5</f>
        <v>70894.06322282189</v>
      </c>
      <c r="T6" s="15" t="s">
        <v>75</v>
      </c>
      <c r="U6" s="15" t="s">
        <v>208</v>
      </c>
      <c r="V6" s="15"/>
      <c r="W6" s="15" t="s">
        <v>355</v>
      </c>
      <c r="X6" s="15"/>
      <c r="Y6" s="15"/>
      <c r="Z6" s="200" t="s">
        <v>352</v>
      </c>
      <c r="AA6" s="210" t="s">
        <v>215</v>
      </c>
      <c r="AB6" s="1"/>
      <c r="AC6" s="1"/>
      <c r="AD6" s="1"/>
      <c r="AE6" s="1"/>
      <c r="AF6" s="1"/>
      <c r="AG6" s="1"/>
    </row>
    <row r="7" spans="1:33" s="132" customFormat="1" ht="51.75" thickBot="1">
      <c r="A7" s="311"/>
      <c r="B7" s="312"/>
      <c r="C7" s="313"/>
      <c r="D7" s="312"/>
      <c r="E7" s="312"/>
      <c r="F7" s="312"/>
      <c r="G7" s="32" t="s">
        <v>323</v>
      </c>
      <c r="H7" s="32" t="s">
        <v>214</v>
      </c>
      <c r="I7" s="32" t="s">
        <v>354</v>
      </c>
      <c r="J7" s="169"/>
      <c r="K7" s="169"/>
      <c r="L7" s="32"/>
      <c r="M7" s="32"/>
      <c r="N7" s="32"/>
      <c r="O7" s="32" t="s">
        <v>327</v>
      </c>
      <c r="P7" s="32" t="s">
        <v>324</v>
      </c>
      <c r="Q7" s="107">
        <f>65/12.97</f>
        <v>5.0115651503469545</v>
      </c>
      <c r="R7" s="107">
        <v>0.065</v>
      </c>
      <c r="S7" s="41">
        <f>Q7*C5</f>
        <v>67766.38396299152</v>
      </c>
      <c r="T7" s="32" t="s">
        <v>75</v>
      </c>
      <c r="U7" s="32" t="s">
        <v>208</v>
      </c>
      <c r="V7" s="32"/>
      <c r="W7" s="32" t="s">
        <v>355</v>
      </c>
      <c r="X7" s="32"/>
      <c r="Y7" s="32"/>
      <c r="Z7" s="194"/>
      <c r="AA7" s="240" t="s">
        <v>215</v>
      </c>
      <c r="AB7" s="1"/>
      <c r="AC7" s="1"/>
      <c r="AD7" s="1"/>
      <c r="AE7" s="1"/>
      <c r="AF7" s="1"/>
      <c r="AG7" s="1"/>
    </row>
    <row r="8" spans="1:33" s="132" customFormat="1" ht="63.75">
      <c r="A8" s="299" t="s">
        <v>8</v>
      </c>
      <c r="B8" s="301" t="s">
        <v>401</v>
      </c>
      <c r="C8" s="303">
        <f>12+22+19+14+15+20</f>
        <v>102</v>
      </c>
      <c r="D8" s="301" t="s">
        <v>11</v>
      </c>
      <c r="E8" s="301" t="s">
        <v>75</v>
      </c>
      <c r="F8" s="301" t="s">
        <v>75</v>
      </c>
      <c r="G8" s="160" t="s">
        <v>45</v>
      </c>
      <c r="H8" s="160" t="s">
        <v>44</v>
      </c>
      <c r="I8" s="160" t="s">
        <v>53</v>
      </c>
      <c r="J8" s="160" t="s">
        <v>287</v>
      </c>
      <c r="K8" s="160" t="s">
        <v>288</v>
      </c>
      <c r="L8" s="160"/>
      <c r="M8" s="160"/>
      <c r="N8" s="160"/>
      <c r="O8" s="160"/>
      <c r="P8" s="160" t="s">
        <v>62</v>
      </c>
      <c r="Q8" s="161" t="s">
        <v>62</v>
      </c>
      <c r="R8" s="161" t="s">
        <v>62</v>
      </c>
      <c r="S8" s="162" t="s">
        <v>62</v>
      </c>
      <c r="T8" s="189">
        <v>0</v>
      </c>
      <c r="U8" s="160" t="s">
        <v>186</v>
      </c>
      <c r="V8" s="160" t="s">
        <v>329</v>
      </c>
      <c r="W8" s="160"/>
      <c r="X8" s="160" t="s">
        <v>250</v>
      </c>
      <c r="Y8" s="163"/>
      <c r="Z8" s="184"/>
      <c r="AA8" s="164" t="s">
        <v>225</v>
      </c>
      <c r="AB8" s="1"/>
      <c r="AC8" s="1"/>
      <c r="AD8" s="1"/>
      <c r="AE8" s="1"/>
      <c r="AF8" s="1"/>
      <c r="AG8" s="1"/>
    </row>
    <row r="9" spans="1:33" s="132" customFormat="1" ht="38.25">
      <c r="A9" s="311"/>
      <c r="B9" s="312"/>
      <c r="C9" s="313"/>
      <c r="D9" s="312"/>
      <c r="E9" s="312"/>
      <c r="F9" s="312"/>
      <c r="G9" s="153" t="s">
        <v>374</v>
      </c>
      <c r="H9" s="153" t="s">
        <v>60</v>
      </c>
      <c r="I9" s="153" t="s">
        <v>59</v>
      </c>
      <c r="J9" s="153" t="s">
        <v>160</v>
      </c>
      <c r="K9" s="153" t="s">
        <v>161</v>
      </c>
      <c r="L9" s="153"/>
      <c r="M9" s="153"/>
      <c r="N9" s="153"/>
      <c r="O9" s="153"/>
      <c r="P9" s="153" t="s">
        <v>77</v>
      </c>
      <c r="Q9" s="154">
        <f>R9/12*1000</f>
        <v>8.666666666666666</v>
      </c>
      <c r="R9" s="154">
        <v>0.104</v>
      </c>
      <c r="S9" s="155">
        <f>Q9*C8</f>
        <v>883.9999999999999</v>
      </c>
      <c r="T9" s="156">
        <v>0</v>
      </c>
      <c r="U9" s="153" t="s">
        <v>208</v>
      </c>
      <c r="V9" s="153" t="s">
        <v>63</v>
      </c>
      <c r="W9" s="153" t="s">
        <v>316</v>
      </c>
      <c r="X9" s="153" t="s">
        <v>250</v>
      </c>
      <c r="Y9" s="168"/>
      <c r="Z9" s="191"/>
      <c r="AA9" s="217" t="s">
        <v>162</v>
      </c>
      <c r="AB9" s="1"/>
      <c r="AC9" s="1"/>
      <c r="AD9" s="1"/>
      <c r="AE9" s="1"/>
      <c r="AF9" s="1"/>
      <c r="AG9" s="1"/>
    </row>
    <row r="10" spans="1:33" s="132" customFormat="1" ht="51">
      <c r="A10" s="311"/>
      <c r="B10" s="312"/>
      <c r="C10" s="313"/>
      <c r="D10" s="312"/>
      <c r="E10" s="312"/>
      <c r="F10" s="312"/>
      <c r="G10" s="20" t="s">
        <v>41</v>
      </c>
      <c r="H10" s="20" t="s">
        <v>377</v>
      </c>
      <c r="I10" s="20" t="s">
        <v>260</v>
      </c>
      <c r="J10" s="20" t="s">
        <v>284</v>
      </c>
      <c r="K10" s="20" t="s">
        <v>192</v>
      </c>
      <c r="L10" s="20"/>
      <c r="M10" s="20"/>
      <c r="N10" s="20"/>
      <c r="O10" s="20"/>
      <c r="P10" s="20" t="s">
        <v>302</v>
      </c>
      <c r="Q10" s="106">
        <f>0.69*37</f>
        <v>25.529999999999998</v>
      </c>
      <c r="R10" s="106">
        <f>0.69/5</f>
        <v>0.13799999999999998</v>
      </c>
      <c r="S10" s="40">
        <f>Q10*C8</f>
        <v>2604.06</v>
      </c>
      <c r="T10" s="165">
        <v>0.56</v>
      </c>
      <c r="U10" s="20" t="s">
        <v>330</v>
      </c>
      <c r="V10" s="20" t="s">
        <v>257</v>
      </c>
      <c r="W10" s="20"/>
      <c r="X10" s="20"/>
      <c r="Y10" s="20"/>
      <c r="Z10" s="179"/>
      <c r="AA10" s="239" t="s">
        <v>264</v>
      </c>
      <c r="AB10" s="1"/>
      <c r="AC10" s="1"/>
      <c r="AD10" s="1"/>
      <c r="AE10" s="1"/>
      <c r="AF10" s="1"/>
      <c r="AG10" s="1"/>
    </row>
    <row r="11" spans="1:33" s="132" customFormat="1" ht="77.25" thickBot="1">
      <c r="A11" s="300"/>
      <c r="B11" s="302"/>
      <c r="C11" s="304"/>
      <c r="D11" s="302"/>
      <c r="E11" s="302"/>
      <c r="F11" s="302"/>
      <c r="G11" s="15" t="s">
        <v>41</v>
      </c>
      <c r="H11" s="220"/>
      <c r="I11" s="220" t="s">
        <v>260</v>
      </c>
      <c r="J11" s="15" t="s">
        <v>284</v>
      </c>
      <c r="K11" s="15" t="s">
        <v>192</v>
      </c>
      <c r="L11" s="220"/>
      <c r="M11" s="220"/>
      <c r="N11" s="220"/>
      <c r="O11" s="220"/>
      <c r="P11" s="220"/>
      <c r="Q11" s="223">
        <v>28</v>
      </c>
      <c r="R11" s="225">
        <v>0.147</v>
      </c>
      <c r="S11" s="233">
        <f>Q11*C8</f>
        <v>2856</v>
      </c>
      <c r="T11" s="234">
        <v>0.525</v>
      </c>
      <c r="U11" s="15" t="s">
        <v>330</v>
      </c>
      <c r="V11" s="15" t="s">
        <v>257</v>
      </c>
      <c r="W11" s="220"/>
      <c r="X11" s="220"/>
      <c r="Y11" s="220"/>
      <c r="Z11" s="200" t="s">
        <v>416</v>
      </c>
      <c r="AA11" s="251"/>
      <c r="AB11" s="1"/>
      <c r="AC11" s="1"/>
      <c r="AD11" s="1"/>
      <c r="AE11" s="1"/>
      <c r="AF11" s="1"/>
      <c r="AG11" s="1"/>
    </row>
    <row r="12" spans="1:33" s="132" customFormat="1" ht="63.75">
      <c r="A12" s="299" t="s">
        <v>253</v>
      </c>
      <c r="B12" s="301" t="s">
        <v>254</v>
      </c>
      <c r="C12" s="303">
        <f>430+189+184+1159+12+5961+358+952+22+233</f>
        <v>9500</v>
      </c>
      <c r="D12" s="301" t="s">
        <v>11</v>
      </c>
      <c r="E12" s="301" t="s">
        <v>75</v>
      </c>
      <c r="F12" s="301" t="s">
        <v>75</v>
      </c>
      <c r="G12" s="60" t="s">
        <v>375</v>
      </c>
      <c r="H12" s="60" t="s">
        <v>60</v>
      </c>
      <c r="I12" s="60" t="s">
        <v>59</v>
      </c>
      <c r="J12" s="60" t="s">
        <v>160</v>
      </c>
      <c r="K12" s="60" t="s">
        <v>161</v>
      </c>
      <c r="L12" s="60"/>
      <c r="M12" s="60"/>
      <c r="N12" s="60"/>
      <c r="O12" s="60"/>
      <c r="P12" s="60" t="s">
        <v>79</v>
      </c>
      <c r="Q12" s="98">
        <f>R12/16*1000</f>
        <v>7.3125</v>
      </c>
      <c r="R12" s="98">
        <v>0.117</v>
      </c>
      <c r="S12" s="61">
        <f>Q12*C12</f>
        <v>69468.75</v>
      </c>
      <c r="T12" s="62">
        <v>0</v>
      </c>
      <c r="U12" s="60" t="s">
        <v>137</v>
      </c>
      <c r="V12" s="60" t="s">
        <v>63</v>
      </c>
      <c r="W12" s="60" t="s">
        <v>80</v>
      </c>
      <c r="X12" s="60" t="s">
        <v>250</v>
      </c>
      <c r="Y12" s="63"/>
      <c r="Z12" s="190" t="s">
        <v>291</v>
      </c>
      <c r="AA12" s="64" t="s">
        <v>162</v>
      </c>
      <c r="AB12" s="1"/>
      <c r="AC12" s="1"/>
      <c r="AD12" s="1"/>
      <c r="AE12" s="1"/>
      <c r="AF12" s="1"/>
      <c r="AG12" s="1"/>
    </row>
    <row r="13" spans="1:33" s="132" customFormat="1" ht="51">
      <c r="A13" s="311"/>
      <c r="B13" s="312"/>
      <c r="C13" s="313"/>
      <c r="D13" s="312"/>
      <c r="E13" s="312"/>
      <c r="F13" s="312"/>
      <c r="G13" s="153" t="s">
        <v>322</v>
      </c>
      <c r="H13" s="153" t="s">
        <v>76</v>
      </c>
      <c r="I13" s="153" t="s">
        <v>354</v>
      </c>
      <c r="J13" s="153"/>
      <c r="K13" s="153"/>
      <c r="L13" s="153"/>
      <c r="M13" s="153"/>
      <c r="N13" s="153"/>
      <c r="O13" s="153" t="s">
        <v>328</v>
      </c>
      <c r="P13" s="153" t="s">
        <v>326</v>
      </c>
      <c r="Q13" s="154">
        <f>70/9.92</f>
        <v>7.056451612903226</v>
      </c>
      <c r="R13" s="154">
        <v>0.07</v>
      </c>
      <c r="S13" s="155">
        <f>Q13*C12</f>
        <v>67036.29032258065</v>
      </c>
      <c r="T13" s="153" t="s">
        <v>75</v>
      </c>
      <c r="U13" s="153" t="s">
        <v>208</v>
      </c>
      <c r="V13" s="153"/>
      <c r="W13" s="153" t="s">
        <v>355</v>
      </c>
      <c r="X13" s="153"/>
      <c r="Y13" s="153"/>
      <c r="Z13" s="191"/>
      <c r="AA13" s="212" t="s">
        <v>215</v>
      </c>
      <c r="AB13" s="1"/>
      <c r="AC13" s="1"/>
      <c r="AD13" s="1"/>
      <c r="AE13" s="1"/>
      <c r="AF13" s="1"/>
      <c r="AG13" s="1"/>
    </row>
    <row r="14" spans="1:33" s="132" customFormat="1" ht="51">
      <c r="A14" s="311"/>
      <c r="B14" s="312"/>
      <c r="C14" s="313"/>
      <c r="D14" s="312"/>
      <c r="E14" s="312"/>
      <c r="F14" s="312"/>
      <c r="G14" s="20" t="s">
        <v>321</v>
      </c>
      <c r="H14" s="20" t="s">
        <v>214</v>
      </c>
      <c r="I14" s="20" t="s">
        <v>354</v>
      </c>
      <c r="J14" s="153"/>
      <c r="K14" s="153"/>
      <c r="L14" s="20"/>
      <c r="M14" s="20"/>
      <c r="N14" s="20"/>
      <c r="O14" s="20" t="s">
        <v>327</v>
      </c>
      <c r="P14" s="20" t="s">
        <v>325</v>
      </c>
      <c r="Q14" s="106">
        <f>68/12.97</f>
        <v>5.242868157286044</v>
      </c>
      <c r="R14" s="106">
        <v>0.068</v>
      </c>
      <c r="S14" s="40">
        <f>Q14*C12</f>
        <v>49807.24749421742</v>
      </c>
      <c r="T14" s="20" t="s">
        <v>75</v>
      </c>
      <c r="U14" s="20" t="s">
        <v>208</v>
      </c>
      <c r="V14" s="20"/>
      <c r="W14" s="20" t="s">
        <v>355</v>
      </c>
      <c r="X14" s="20"/>
      <c r="Y14" s="20"/>
      <c r="Z14" s="179"/>
      <c r="AA14" s="211" t="s">
        <v>215</v>
      </c>
      <c r="AB14" s="1"/>
      <c r="AC14" s="1"/>
      <c r="AD14" s="1"/>
      <c r="AE14" s="1"/>
      <c r="AF14" s="1"/>
      <c r="AG14" s="1"/>
    </row>
    <row r="15" spans="1:33" s="132" customFormat="1" ht="51.75" thickBot="1">
      <c r="A15" s="300"/>
      <c r="B15" s="302"/>
      <c r="C15" s="304"/>
      <c r="D15" s="302"/>
      <c r="E15" s="302"/>
      <c r="F15" s="302"/>
      <c r="G15" s="169" t="s">
        <v>314</v>
      </c>
      <c r="H15" s="169" t="s">
        <v>52</v>
      </c>
      <c r="I15" s="169" t="s">
        <v>354</v>
      </c>
      <c r="J15" s="173"/>
      <c r="K15" s="173"/>
      <c r="L15" s="169"/>
      <c r="M15" s="169" t="s">
        <v>149</v>
      </c>
      <c r="N15" s="169" t="s">
        <v>149</v>
      </c>
      <c r="O15" s="169" t="s">
        <v>310</v>
      </c>
      <c r="P15" s="169" t="s">
        <v>149</v>
      </c>
      <c r="Q15" s="170">
        <f>R15*2300/100*6</f>
        <v>22.908</v>
      </c>
      <c r="R15" s="170">
        <f>0.139+0.027</f>
        <v>0.166</v>
      </c>
      <c r="S15" s="171">
        <f>Q15*C12</f>
        <v>217626</v>
      </c>
      <c r="T15" s="172">
        <v>0</v>
      </c>
      <c r="U15" s="169" t="s">
        <v>330</v>
      </c>
      <c r="V15" s="173"/>
      <c r="W15" s="169" t="s">
        <v>355</v>
      </c>
      <c r="X15" s="169"/>
      <c r="Y15" s="174"/>
      <c r="Z15" s="194"/>
      <c r="AA15" s="175" t="s">
        <v>261</v>
      </c>
      <c r="AB15" s="1"/>
      <c r="AC15" s="1"/>
      <c r="AD15" s="1"/>
      <c r="AE15" s="1"/>
      <c r="AF15" s="1"/>
      <c r="AG15" s="1"/>
    </row>
    <row r="16" spans="1:33" s="132" customFormat="1" ht="63.75">
      <c r="A16" s="299" t="s">
        <v>253</v>
      </c>
      <c r="B16" s="301" t="s">
        <v>251</v>
      </c>
      <c r="C16" s="303">
        <v>183</v>
      </c>
      <c r="D16" s="301" t="s">
        <v>11</v>
      </c>
      <c r="E16" s="301" t="s">
        <v>75</v>
      </c>
      <c r="F16" s="301" t="s">
        <v>75</v>
      </c>
      <c r="G16" s="160" t="s">
        <v>43</v>
      </c>
      <c r="H16" s="160" t="s">
        <v>42</v>
      </c>
      <c r="I16" s="160" t="s">
        <v>53</v>
      </c>
      <c r="J16" s="160" t="s">
        <v>290</v>
      </c>
      <c r="K16" s="160" t="s">
        <v>289</v>
      </c>
      <c r="L16" s="160"/>
      <c r="M16" s="160"/>
      <c r="N16" s="160"/>
      <c r="O16" s="160"/>
      <c r="P16" s="160" t="s">
        <v>57</v>
      </c>
      <c r="Q16" s="161">
        <v>28</v>
      </c>
      <c r="R16" s="161">
        <v>0.136</v>
      </c>
      <c r="S16" s="162">
        <f>Q16*C16</f>
        <v>5124</v>
      </c>
      <c r="T16" s="160" t="s">
        <v>54</v>
      </c>
      <c r="U16" s="160" t="s">
        <v>330</v>
      </c>
      <c r="V16" s="160" t="s">
        <v>329</v>
      </c>
      <c r="W16" s="160"/>
      <c r="X16" s="160" t="s">
        <v>250</v>
      </c>
      <c r="Y16" s="163"/>
      <c r="Z16" s="184"/>
      <c r="AA16" s="164" t="s">
        <v>224</v>
      </c>
      <c r="AB16" s="1"/>
      <c r="AC16" s="1"/>
      <c r="AD16" s="1"/>
      <c r="AE16" s="1"/>
      <c r="AF16" s="1"/>
      <c r="AG16" s="1"/>
    </row>
    <row r="17" spans="1:33" s="132" customFormat="1" ht="102.75" thickBot="1">
      <c r="A17" s="300"/>
      <c r="B17" s="302"/>
      <c r="C17" s="304"/>
      <c r="D17" s="302"/>
      <c r="E17" s="302"/>
      <c r="F17" s="302"/>
      <c r="G17" s="14" t="s">
        <v>32</v>
      </c>
      <c r="H17" s="14" t="s">
        <v>366</v>
      </c>
      <c r="I17" s="14" t="s">
        <v>260</v>
      </c>
      <c r="J17" s="14" t="s">
        <v>284</v>
      </c>
      <c r="K17" s="14" t="s">
        <v>192</v>
      </c>
      <c r="L17" s="14"/>
      <c r="M17" s="14"/>
      <c r="N17" s="14"/>
      <c r="O17" s="14"/>
      <c r="P17" s="14" t="s">
        <v>303</v>
      </c>
      <c r="Q17" s="218">
        <f>0.8*37.2</f>
        <v>29.760000000000005</v>
      </c>
      <c r="R17" s="218">
        <f>0.8/5</f>
        <v>0.16</v>
      </c>
      <c r="S17" s="203">
        <f>Q17*C16</f>
        <v>5446.080000000001</v>
      </c>
      <c r="T17" s="219">
        <v>0</v>
      </c>
      <c r="U17" s="14" t="s">
        <v>330</v>
      </c>
      <c r="V17" s="14" t="s">
        <v>257</v>
      </c>
      <c r="W17" s="14"/>
      <c r="X17" s="14"/>
      <c r="Y17" s="16"/>
      <c r="Z17" s="197" t="s">
        <v>293</v>
      </c>
      <c r="AA17" s="135" t="s">
        <v>264</v>
      </c>
      <c r="AB17" s="1"/>
      <c r="AC17" s="1"/>
      <c r="AD17" s="1"/>
      <c r="AE17" s="1"/>
      <c r="AF17" s="1"/>
      <c r="AG17" s="1"/>
    </row>
    <row r="18" spans="1:33" s="132" customFormat="1" ht="64.5" thickBot="1">
      <c r="A18" s="205" t="s">
        <v>253</v>
      </c>
      <c r="B18" s="206" t="s">
        <v>252</v>
      </c>
      <c r="C18" s="252">
        <v>51</v>
      </c>
      <c r="D18" s="206" t="s">
        <v>11</v>
      </c>
      <c r="E18" s="206" t="s">
        <v>75</v>
      </c>
      <c r="F18" s="206" t="s">
        <v>75</v>
      </c>
      <c r="G18" s="60" t="s">
        <v>410</v>
      </c>
      <c r="H18" s="60" t="s">
        <v>60</v>
      </c>
      <c r="I18" s="60" t="s">
        <v>59</v>
      </c>
      <c r="J18" s="60" t="s">
        <v>160</v>
      </c>
      <c r="K18" s="60" t="s">
        <v>161</v>
      </c>
      <c r="L18" s="60"/>
      <c r="M18" s="60"/>
      <c r="N18" s="60"/>
      <c r="O18" s="60"/>
      <c r="P18" s="60" t="s">
        <v>78</v>
      </c>
      <c r="Q18" s="98">
        <f>R18/16*1000</f>
        <v>7.25</v>
      </c>
      <c r="R18" s="98">
        <v>0.116</v>
      </c>
      <c r="S18" s="61">
        <f>Q18*C18</f>
        <v>369.75</v>
      </c>
      <c r="T18" s="62">
        <v>0</v>
      </c>
      <c r="U18" s="60" t="s">
        <v>137</v>
      </c>
      <c r="V18" s="60" t="s">
        <v>63</v>
      </c>
      <c r="W18" s="60" t="s">
        <v>238</v>
      </c>
      <c r="X18" s="60" t="s">
        <v>250</v>
      </c>
      <c r="Y18" s="63"/>
      <c r="Z18" s="190" t="s">
        <v>295</v>
      </c>
      <c r="AA18" s="64" t="s">
        <v>162</v>
      </c>
      <c r="AB18" s="1"/>
      <c r="AC18" s="1"/>
      <c r="AD18" s="1"/>
      <c r="AE18" s="1"/>
      <c r="AF18" s="1"/>
      <c r="AG18" s="1"/>
    </row>
    <row r="19" spans="1:33" s="132" customFormat="1" ht="64.5" thickBot="1">
      <c r="A19" s="299" t="s">
        <v>253</v>
      </c>
      <c r="B19" s="301" t="s">
        <v>252</v>
      </c>
      <c r="C19" s="303">
        <v>223</v>
      </c>
      <c r="D19" s="301" t="s">
        <v>11</v>
      </c>
      <c r="E19" s="301" t="s">
        <v>75</v>
      </c>
      <c r="F19" s="301" t="s">
        <v>75</v>
      </c>
      <c r="G19" s="60" t="s">
        <v>58</v>
      </c>
      <c r="H19" s="60" t="s">
        <v>60</v>
      </c>
      <c r="I19" s="60" t="s">
        <v>59</v>
      </c>
      <c r="J19" s="60" t="s">
        <v>160</v>
      </c>
      <c r="K19" s="60" t="s">
        <v>161</v>
      </c>
      <c r="L19" s="60"/>
      <c r="M19" s="60"/>
      <c r="N19" s="60"/>
      <c r="O19" s="60"/>
      <c r="P19" s="60" t="s">
        <v>79</v>
      </c>
      <c r="Q19" s="98">
        <f>R19/16*1000</f>
        <v>6.5</v>
      </c>
      <c r="R19" s="98">
        <v>0.104</v>
      </c>
      <c r="S19" s="61">
        <f>Q19*C19</f>
        <v>1449.5</v>
      </c>
      <c r="T19" s="62">
        <v>0</v>
      </c>
      <c r="U19" s="60" t="s">
        <v>137</v>
      </c>
      <c r="V19" s="60" t="s">
        <v>63</v>
      </c>
      <c r="W19" s="60" t="s">
        <v>80</v>
      </c>
      <c r="X19" s="60" t="s">
        <v>250</v>
      </c>
      <c r="Y19" s="63"/>
      <c r="Z19" s="190" t="s">
        <v>295</v>
      </c>
      <c r="AA19" s="64" t="s">
        <v>162</v>
      </c>
      <c r="AB19" s="1"/>
      <c r="AC19" s="1"/>
      <c r="AD19" s="1"/>
      <c r="AE19" s="1"/>
      <c r="AF19" s="1"/>
      <c r="AG19" s="1"/>
    </row>
    <row r="20" spans="1:33" s="132" customFormat="1" ht="26.25" hidden="1" thickBot="1">
      <c r="A20" s="300"/>
      <c r="B20" s="302"/>
      <c r="C20" s="304"/>
      <c r="D20" s="302"/>
      <c r="E20" s="302"/>
      <c r="F20" s="302"/>
      <c r="G20" s="206" t="s">
        <v>409</v>
      </c>
      <c r="H20" s="206" t="s">
        <v>408</v>
      </c>
      <c r="I20" s="206" t="s">
        <v>354</v>
      </c>
      <c r="J20" s="258"/>
      <c r="K20" s="258"/>
      <c r="L20" s="258"/>
      <c r="M20" s="258"/>
      <c r="N20" s="258"/>
      <c r="O20" s="258"/>
      <c r="P20" s="258"/>
      <c r="Q20" s="259"/>
      <c r="R20" s="259"/>
      <c r="S20" s="260"/>
      <c r="T20" s="261"/>
      <c r="U20" s="258"/>
      <c r="V20" s="258"/>
      <c r="W20" s="206"/>
      <c r="X20" s="206"/>
      <c r="Y20" s="255"/>
      <c r="Z20" s="256"/>
      <c r="AA20" s="257"/>
      <c r="AB20" s="1"/>
      <c r="AC20" s="1"/>
      <c r="AD20" s="1"/>
      <c r="AE20" s="1"/>
      <c r="AF20" s="1"/>
      <c r="AG20" s="1"/>
    </row>
    <row r="21" spans="1:33" s="132" customFormat="1" ht="39" thickBot="1">
      <c r="A21" s="69" t="s">
        <v>253</v>
      </c>
      <c r="B21" s="70" t="s">
        <v>255</v>
      </c>
      <c r="C21" s="139">
        <f>591</f>
        <v>591</v>
      </c>
      <c r="D21" s="70" t="s">
        <v>11</v>
      </c>
      <c r="E21" s="70" t="s">
        <v>75</v>
      </c>
      <c r="F21" s="70" t="s">
        <v>82</v>
      </c>
      <c r="G21" s="70" t="s">
        <v>33</v>
      </c>
      <c r="H21" s="70" t="s">
        <v>66</v>
      </c>
      <c r="I21" s="71" t="s">
        <v>354</v>
      </c>
      <c r="J21" s="71"/>
      <c r="K21" s="71"/>
      <c r="L21" s="70"/>
      <c r="M21" s="70"/>
      <c r="N21" s="70"/>
      <c r="O21" s="70"/>
      <c r="P21" s="71" t="s">
        <v>149</v>
      </c>
      <c r="Q21" s="100"/>
      <c r="R21" s="101">
        <v>2.53</v>
      </c>
      <c r="S21" s="72">
        <f>Q21*C21</f>
        <v>0</v>
      </c>
      <c r="T21" s="71"/>
      <c r="U21" s="71"/>
      <c r="V21" s="213"/>
      <c r="W21" s="70" t="s">
        <v>331</v>
      </c>
      <c r="X21" s="70"/>
      <c r="Y21" s="73"/>
      <c r="Z21" s="193" t="s">
        <v>294</v>
      </c>
      <c r="AA21" s="74" t="s">
        <v>187</v>
      </c>
      <c r="AB21" s="1"/>
      <c r="AC21" s="1"/>
      <c r="AD21" s="1"/>
      <c r="AE21" s="1"/>
      <c r="AF21" s="1"/>
      <c r="AG21" s="1"/>
    </row>
    <row r="22" spans="1:33" s="132" customFormat="1" ht="26.25" thickBot="1">
      <c r="A22" s="69" t="s">
        <v>176</v>
      </c>
      <c r="B22" s="70" t="s">
        <v>180</v>
      </c>
      <c r="C22" s="139"/>
      <c r="D22" s="70" t="s">
        <v>11</v>
      </c>
      <c r="E22" s="70" t="s">
        <v>75</v>
      </c>
      <c r="F22" s="70" t="s">
        <v>75</v>
      </c>
      <c r="G22" s="70" t="s">
        <v>177</v>
      </c>
      <c r="H22" s="70" t="s">
        <v>178</v>
      </c>
      <c r="I22" s="70" t="s">
        <v>179</v>
      </c>
      <c r="J22" s="70" t="s">
        <v>181</v>
      </c>
      <c r="K22" s="70" t="s">
        <v>182</v>
      </c>
      <c r="L22" s="70"/>
      <c r="M22" s="70" t="s">
        <v>181</v>
      </c>
      <c r="N22" s="70" t="s">
        <v>182</v>
      </c>
      <c r="O22" s="70"/>
      <c r="P22" s="70"/>
      <c r="Q22" s="101"/>
      <c r="R22" s="101"/>
      <c r="S22" s="72">
        <f>Q22*C22</f>
        <v>0</v>
      </c>
      <c r="T22" s="75">
        <v>1</v>
      </c>
      <c r="U22" s="70" t="s">
        <v>64</v>
      </c>
      <c r="V22" s="70"/>
      <c r="W22" s="70" t="s">
        <v>183</v>
      </c>
      <c r="X22" s="70"/>
      <c r="Y22" s="73"/>
      <c r="Z22" s="193" t="s">
        <v>296</v>
      </c>
      <c r="AA22" s="74"/>
      <c r="AB22" s="1"/>
      <c r="AC22" s="1"/>
      <c r="AD22" s="1"/>
      <c r="AE22" s="1"/>
      <c r="AF22" s="1"/>
      <c r="AG22" s="1"/>
    </row>
    <row r="23" spans="1:33" s="8" customFormat="1" ht="13.5" thickBot="1">
      <c r="A23" s="270" t="s">
        <v>83</v>
      </c>
      <c r="B23" s="48"/>
      <c r="C23" s="140"/>
      <c r="D23" s="48"/>
      <c r="E23" s="49"/>
      <c r="F23" s="49"/>
      <c r="G23" s="49"/>
      <c r="H23" s="50"/>
      <c r="I23" s="49"/>
      <c r="J23" s="49"/>
      <c r="K23" s="49"/>
      <c r="L23" s="49"/>
      <c r="M23" s="49"/>
      <c r="N23" s="49"/>
      <c r="O23" s="49"/>
      <c r="P23" s="49"/>
      <c r="Q23" s="102"/>
      <c r="R23" s="102"/>
      <c r="S23" s="51"/>
      <c r="T23" s="50"/>
      <c r="U23" s="50"/>
      <c r="V23" s="50"/>
      <c r="W23" s="49"/>
      <c r="X23" s="49"/>
      <c r="Y23" s="50"/>
      <c r="Z23" s="198"/>
      <c r="AA23" s="271"/>
      <c r="AB23" s="6"/>
      <c r="AC23" s="6"/>
      <c r="AD23" s="6"/>
      <c r="AE23" s="7"/>
      <c r="AF23" s="7"/>
      <c r="AG23" s="7"/>
    </row>
    <row r="24" spans="1:33" s="8" customFormat="1" ht="63.75">
      <c r="A24" s="309" t="s">
        <v>9</v>
      </c>
      <c r="B24" s="307" t="s">
        <v>81</v>
      </c>
      <c r="C24" s="305">
        <v>2142</v>
      </c>
      <c r="D24" s="307" t="s">
        <v>12</v>
      </c>
      <c r="E24" s="307" t="s">
        <v>75</v>
      </c>
      <c r="F24" s="307" t="s">
        <v>75</v>
      </c>
      <c r="G24" s="60" t="s">
        <v>46</v>
      </c>
      <c r="H24" s="60" t="s">
        <v>172</v>
      </c>
      <c r="I24" s="60" t="s">
        <v>49</v>
      </c>
      <c r="J24" s="60" t="s">
        <v>285</v>
      </c>
      <c r="K24" s="60" t="s">
        <v>286</v>
      </c>
      <c r="L24" s="60"/>
      <c r="M24" s="60"/>
      <c r="N24" s="60"/>
      <c r="O24" s="60"/>
      <c r="P24" s="60" t="s">
        <v>334</v>
      </c>
      <c r="Q24" s="98">
        <f>R24*125*0.914</f>
        <v>22.050250000000002</v>
      </c>
      <c r="R24" s="98">
        <v>0.193</v>
      </c>
      <c r="S24" s="61">
        <f>Q24*C24/2</f>
        <v>23615.817750000002</v>
      </c>
      <c r="T24" s="62">
        <v>0.82</v>
      </c>
      <c r="U24" s="60" t="s">
        <v>64</v>
      </c>
      <c r="V24" s="60" t="s">
        <v>185</v>
      </c>
      <c r="W24" s="60" t="s">
        <v>332</v>
      </c>
      <c r="X24" s="60"/>
      <c r="Y24" s="63"/>
      <c r="Z24" s="190" t="s">
        <v>298</v>
      </c>
      <c r="AA24" s="64" t="s">
        <v>304</v>
      </c>
      <c r="AB24" s="6"/>
      <c r="AC24" s="6"/>
      <c r="AD24" s="6"/>
      <c r="AE24" s="7"/>
      <c r="AF24" s="7"/>
      <c r="AG24" s="7"/>
    </row>
    <row r="25" spans="1:33" s="8" customFormat="1" ht="102.75" thickBot="1">
      <c r="A25" s="310"/>
      <c r="B25" s="308"/>
      <c r="C25" s="306"/>
      <c r="D25" s="308"/>
      <c r="E25" s="308"/>
      <c r="F25" s="308"/>
      <c r="G25" s="65" t="s">
        <v>172</v>
      </c>
      <c r="H25" s="65" t="s">
        <v>172</v>
      </c>
      <c r="I25" s="149" t="s">
        <v>354</v>
      </c>
      <c r="J25" s="149"/>
      <c r="K25" s="149"/>
      <c r="L25" s="149"/>
      <c r="M25" s="65"/>
      <c r="N25" s="149" t="s">
        <v>149</v>
      </c>
      <c r="O25" s="65" t="s">
        <v>310</v>
      </c>
      <c r="P25" s="65" t="s">
        <v>337</v>
      </c>
      <c r="Q25" s="214">
        <f>R25*2300/18.4</f>
        <v>22.5</v>
      </c>
      <c r="R25" s="128">
        <v>0.18</v>
      </c>
      <c r="S25" s="66">
        <f>Q25*C24/2</f>
        <v>24097.5</v>
      </c>
      <c r="T25" s="67">
        <v>0</v>
      </c>
      <c r="U25" s="65" t="s">
        <v>64</v>
      </c>
      <c r="V25" s="149"/>
      <c r="W25" s="65" t="s">
        <v>356</v>
      </c>
      <c r="X25" s="65"/>
      <c r="Y25" s="68"/>
      <c r="Z25" s="199" t="s">
        <v>333</v>
      </c>
      <c r="AA25" s="131" t="s">
        <v>233</v>
      </c>
      <c r="AB25" s="6"/>
      <c r="AC25" s="6"/>
      <c r="AD25" s="6"/>
      <c r="AE25" s="7"/>
      <c r="AF25" s="7"/>
      <c r="AG25" s="7"/>
    </row>
    <row r="26" spans="1:33" s="8" customFormat="1" ht="64.5" thickBot="1">
      <c r="A26" s="69" t="s">
        <v>9</v>
      </c>
      <c r="B26" s="70" t="s">
        <v>81</v>
      </c>
      <c r="C26" s="139">
        <v>1119</v>
      </c>
      <c r="D26" s="70" t="s">
        <v>12</v>
      </c>
      <c r="E26" s="70" t="s">
        <v>75</v>
      </c>
      <c r="F26" s="70" t="s">
        <v>75</v>
      </c>
      <c r="G26" s="70" t="s">
        <v>239</v>
      </c>
      <c r="H26" s="70" t="s">
        <v>47</v>
      </c>
      <c r="I26" s="70" t="s">
        <v>49</v>
      </c>
      <c r="J26" s="60" t="s">
        <v>285</v>
      </c>
      <c r="K26" s="60" t="s">
        <v>286</v>
      </c>
      <c r="L26" s="70"/>
      <c r="M26" s="70"/>
      <c r="N26" s="70"/>
      <c r="O26" s="70"/>
      <c r="P26" s="70" t="s">
        <v>184</v>
      </c>
      <c r="Q26" s="101">
        <f>(12.74/0.914)</f>
        <v>13.938730853391684</v>
      </c>
      <c r="R26" s="101">
        <v>0.193</v>
      </c>
      <c r="S26" s="72">
        <f>Q26*C26</f>
        <v>15597.439824945295</v>
      </c>
      <c r="T26" s="75">
        <v>0.82</v>
      </c>
      <c r="U26" s="70" t="s">
        <v>64</v>
      </c>
      <c r="V26" s="70" t="s">
        <v>185</v>
      </c>
      <c r="W26" s="70" t="s">
        <v>263</v>
      </c>
      <c r="X26" s="70"/>
      <c r="Y26" s="73"/>
      <c r="Z26" s="190" t="s">
        <v>298</v>
      </c>
      <c r="AA26" s="74" t="s">
        <v>226</v>
      </c>
      <c r="AB26" s="6"/>
      <c r="AC26" s="6"/>
      <c r="AD26" s="6"/>
      <c r="AE26" s="7"/>
      <c r="AF26" s="7"/>
      <c r="AG26" s="7"/>
    </row>
    <row r="27" spans="1:33" s="8" customFormat="1" ht="63.75">
      <c r="A27" s="299" t="s">
        <v>13</v>
      </c>
      <c r="B27" s="301" t="s">
        <v>412</v>
      </c>
      <c r="C27" s="303">
        <v>3178</v>
      </c>
      <c r="D27" s="301" t="s">
        <v>12</v>
      </c>
      <c r="E27" s="301" t="s">
        <v>75</v>
      </c>
      <c r="F27" s="301" t="s">
        <v>75</v>
      </c>
      <c r="G27" s="60" t="s">
        <v>46</v>
      </c>
      <c r="H27" s="60" t="s">
        <v>31</v>
      </c>
      <c r="I27" s="60" t="s">
        <v>49</v>
      </c>
      <c r="J27" s="60" t="s">
        <v>285</v>
      </c>
      <c r="K27" s="60" t="s">
        <v>286</v>
      </c>
      <c r="L27" s="60"/>
      <c r="M27" s="60"/>
      <c r="N27" s="60"/>
      <c r="O27" s="60"/>
      <c r="P27" s="60" t="s">
        <v>335</v>
      </c>
      <c r="Q27" s="98">
        <f>R27*15*0.914</f>
        <v>2.64603</v>
      </c>
      <c r="R27" s="98">
        <v>0.193</v>
      </c>
      <c r="S27" s="61">
        <f>Q27*C27/2</f>
        <v>4204.5416700000005</v>
      </c>
      <c r="T27" s="62">
        <v>0.82</v>
      </c>
      <c r="U27" s="60" t="s">
        <v>64</v>
      </c>
      <c r="V27" s="60" t="s">
        <v>185</v>
      </c>
      <c r="W27" s="60" t="s">
        <v>336</v>
      </c>
      <c r="X27" s="60"/>
      <c r="Y27" s="63"/>
      <c r="Z27" s="190" t="s">
        <v>298</v>
      </c>
      <c r="AA27" s="64" t="s">
        <v>226</v>
      </c>
      <c r="AB27" s="6"/>
      <c r="AC27" s="6"/>
      <c r="AD27" s="6"/>
      <c r="AE27" s="7"/>
      <c r="AF27" s="7"/>
      <c r="AG27" s="7"/>
    </row>
    <row r="28" spans="1:33" s="8" customFormat="1" ht="102.75" thickBot="1">
      <c r="A28" s="300"/>
      <c r="B28" s="302"/>
      <c r="C28" s="304"/>
      <c r="D28" s="302"/>
      <c r="E28" s="302"/>
      <c r="F28" s="302"/>
      <c r="G28" s="116" t="s">
        <v>248</v>
      </c>
      <c r="H28" s="116" t="s">
        <v>248</v>
      </c>
      <c r="I28" s="148" t="s">
        <v>354</v>
      </c>
      <c r="J28" s="148"/>
      <c r="K28" s="148"/>
      <c r="L28" s="148"/>
      <c r="M28" s="116"/>
      <c r="N28" s="148" t="s">
        <v>149</v>
      </c>
      <c r="O28" s="116" t="s">
        <v>310</v>
      </c>
      <c r="P28" s="116" t="s">
        <v>338</v>
      </c>
      <c r="Q28" s="128">
        <f>R28*2300/145.9</f>
        <v>2.8375599725839615</v>
      </c>
      <c r="R28" s="128">
        <v>0.18</v>
      </c>
      <c r="S28" s="129">
        <f>Q28*C27/2</f>
        <v>4508.882796435915</v>
      </c>
      <c r="T28" s="150">
        <v>0</v>
      </c>
      <c r="U28" s="116" t="s">
        <v>64</v>
      </c>
      <c r="V28" s="148"/>
      <c r="W28" s="65" t="s">
        <v>357</v>
      </c>
      <c r="X28" s="116"/>
      <c r="Y28" s="130"/>
      <c r="Z28" s="199" t="s">
        <v>333</v>
      </c>
      <c r="AA28" s="131" t="s">
        <v>233</v>
      </c>
      <c r="AB28" s="6"/>
      <c r="AC28" s="6"/>
      <c r="AD28" s="6"/>
      <c r="AE28" s="7"/>
      <c r="AF28" s="7"/>
      <c r="AG28" s="7"/>
    </row>
    <row r="29" spans="1:27" ht="26.25" hidden="1" thickBot="1">
      <c r="A29" s="69" t="s">
        <v>13</v>
      </c>
      <c r="B29" s="86" t="s">
        <v>411</v>
      </c>
      <c r="C29" s="263">
        <v>860</v>
      </c>
      <c r="D29" s="86" t="s">
        <v>12</v>
      </c>
      <c r="E29" s="264" t="s">
        <v>75</v>
      </c>
      <c r="F29" s="264" t="s">
        <v>75</v>
      </c>
      <c r="G29" s="86" t="s">
        <v>413</v>
      </c>
      <c r="H29" s="86" t="s">
        <v>413</v>
      </c>
      <c r="I29" s="86" t="s">
        <v>354</v>
      </c>
      <c r="J29" s="86"/>
      <c r="K29" s="86"/>
      <c r="L29" s="86"/>
      <c r="M29" s="86"/>
      <c r="N29" s="86"/>
      <c r="O29" s="86"/>
      <c r="P29" s="86"/>
      <c r="Q29" s="114"/>
      <c r="R29" s="266"/>
      <c r="S29" s="88"/>
      <c r="T29" s="86"/>
      <c r="U29" s="86"/>
      <c r="V29" s="86"/>
      <c r="W29" s="86"/>
      <c r="X29" s="86"/>
      <c r="Y29" s="86"/>
      <c r="Z29" s="86"/>
      <c r="AA29" s="265"/>
    </row>
    <row r="30" ht="13.5" thickBot="1">
      <c r="A30" s="262"/>
    </row>
  </sheetData>
  <sheetProtection/>
  <mergeCells count="42">
    <mergeCell ref="A16:A17"/>
    <mergeCell ref="C12:C15"/>
    <mergeCell ref="B12:B15"/>
    <mergeCell ref="A12:A15"/>
    <mergeCell ref="F8:F11"/>
    <mergeCell ref="E8:E11"/>
    <mergeCell ref="D8:D11"/>
    <mergeCell ref="C8:C11"/>
    <mergeCell ref="B8:B11"/>
    <mergeCell ref="A8:A11"/>
    <mergeCell ref="C5:C7"/>
    <mergeCell ref="B5:B7"/>
    <mergeCell ref="F16:F17"/>
    <mergeCell ref="E16:E17"/>
    <mergeCell ref="D16:D17"/>
    <mergeCell ref="C16:C17"/>
    <mergeCell ref="B16:B17"/>
    <mergeCell ref="F12:F15"/>
    <mergeCell ref="D12:D15"/>
    <mergeCell ref="E27:E28"/>
    <mergeCell ref="E24:E25"/>
    <mergeCell ref="D24:D25"/>
    <mergeCell ref="E12:E15"/>
    <mergeCell ref="F5:F7"/>
    <mergeCell ref="E5:E7"/>
    <mergeCell ref="D5:D7"/>
    <mergeCell ref="C24:C25"/>
    <mergeCell ref="B24:B25"/>
    <mergeCell ref="A24:A25"/>
    <mergeCell ref="A27:A28"/>
    <mergeCell ref="A5:A7"/>
    <mergeCell ref="F24:F25"/>
    <mergeCell ref="D27:D28"/>
    <mergeCell ref="C27:C28"/>
    <mergeCell ref="B27:B28"/>
    <mergeCell ref="F27:F28"/>
    <mergeCell ref="A19:A20"/>
    <mergeCell ref="B19:B20"/>
    <mergeCell ref="C19:C20"/>
    <mergeCell ref="D19:D20"/>
    <mergeCell ref="E19:E20"/>
    <mergeCell ref="F19:F20"/>
  </mergeCells>
  <hyperlinks>
    <hyperlink ref="AA6" r:id="rId1" display="http://www.mqp.co.uk/low-energy-asphalt.htm"/>
    <hyperlink ref="AA5" r:id="rId2" display="http://www.mqp.co.uk/low-energy-asphalt.htm"/>
    <hyperlink ref="AA7" r:id="rId3" display="http://www.mqp.co.uk/low-energy-asphalt.htm"/>
    <hyperlink ref="AA13" r:id="rId4" display="http://www.mqp.co.uk/low-energy-asphalt.htm"/>
    <hyperlink ref="AA14" r:id="rId5" display="http://www.mqp.co.uk/low-energy-asphalt.htm"/>
  </hyperlinks>
  <printOptions/>
  <pageMargins left="0.5511811023622047" right="0.5511811023622047" top="0.7874015748031497" bottom="0.7874015748031497" header="0.5118110236220472" footer="0.5118110236220472"/>
  <pageSetup fitToHeight="0" fitToWidth="1" horizontalDpi="600" verticalDpi="600" orientation="landscape" paperSize="9" scale="40" r:id="rId7"/>
  <headerFooter>
    <oddHeader>&amp;L&amp;"Verdana,Bold"
BICESTER ECO TOWN - EXEMPLAR SITE (INFRASTRUCTURE PHASE)&amp;C&amp;"Verdana,Bold"
MATERIALS UNDER CONSIDERATION (A WORKING DOCUMENT)&amp;R&amp;G</oddHeader>
    <oddFooter>&amp;L&amp;"Verdana,Regular"&amp;F/&amp;A
&amp;1#&amp;"Calibri"&amp;10 Classified as General&amp;R&amp;"Verdana,Regular"Page &amp;P of &amp;N</oddFooter>
  </headerFooter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5"/>
  <sheetViews>
    <sheetView tabSelected="1" view="pageBreakPreview" zoomScaleSheetLayoutView="100" zoomScalePageLayoutView="55" workbookViewId="0" topLeftCell="B1">
      <pane ySplit="3" topLeftCell="A80" activePane="bottomLeft" state="frozen"/>
      <selection pane="topLeft" activeCell="A1" sqref="A1"/>
      <selection pane="bottomLeft" activeCell="T81" sqref="T81"/>
    </sheetView>
  </sheetViews>
  <sheetFormatPr defaultColWidth="9.140625" defaultRowHeight="12.75"/>
  <cols>
    <col min="1" max="1" width="12.7109375" style="9" customWidth="1"/>
    <col min="2" max="2" width="20.7109375" style="10" customWidth="1"/>
    <col min="3" max="3" width="12.7109375" style="137" customWidth="1"/>
    <col min="4" max="4" width="12.7109375" style="10" customWidth="1"/>
    <col min="5" max="6" width="12.7109375" style="9" customWidth="1"/>
    <col min="7" max="7" width="20.7109375" style="10" customWidth="1"/>
    <col min="8" max="8" width="14.57421875" style="10" customWidth="1"/>
    <col min="9" max="11" width="15.8515625" style="10" customWidth="1"/>
    <col min="12" max="12" width="15.8515625" style="10" hidden="1" customWidth="1"/>
    <col min="13" max="13" width="15.00390625" style="10" hidden="1" customWidth="1"/>
    <col min="14" max="14" width="12.7109375" style="10" hidden="1" customWidth="1"/>
    <col min="15" max="15" width="28.7109375" style="10" hidden="1" customWidth="1"/>
    <col min="16" max="16" width="14.28125" style="10" hidden="1" customWidth="1"/>
    <col min="17" max="17" width="14.28125" style="95" customWidth="1"/>
    <col min="18" max="18" width="14.8515625" style="95" customWidth="1"/>
    <col min="19" max="19" width="14.8515625" style="35" customWidth="1"/>
    <col min="20" max="21" width="12.7109375" style="10" customWidth="1"/>
    <col min="22" max="22" width="15.00390625" style="10" customWidth="1"/>
    <col min="23" max="23" width="33.140625" style="10" customWidth="1"/>
    <col min="24" max="24" width="17.140625" style="10" hidden="1" customWidth="1"/>
    <col min="25" max="25" width="12.7109375" style="10" hidden="1" customWidth="1"/>
    <col min="26" max="26" width="36.140625" style="10" customWidth="1"/>
    <col min="27" max="27" width="19.7109375" style="11" customWidth="1"/>
    <col min="28" max="30" width="9.140625" style="1" customWidth="1"/>
    <col min="31" max="33" width="9.140625" style="2" customWidth="1"/>
  </cols>
  <sheetData>
    <row r="1" spans="12:23" ht="12.75">
      <c r="L1" s="10" t="s">
        <v>424</v>
      </c>
      <c r="M1" s="10" t="s">
        <v>424</v>
      </c>
      <c r="N1" s="10" t="s">
        <v>424</v>
      </c>
      <c r="O1" s="10" t="s">
        <v>424</v>
      </c>
      <c r="P1" s="10" t="s">
        <v>424</v>
      </c>
      <c r="W1" s="152"/>
    </row>
    <row r="2" ht="19.5" customHeight="1" thickBot="1"/>
    <row r="3" spans="1:27" ht="51.75" thickBot="1">
      <c r="A3" s="92" t="s">
        <v>0</v>
      </c>
      <c r="B3" s="93" t="s">
        <v>6</v>
      </c>
      <c r="C3" s="138" t="s">
        <v>240</v>
      </c>
      <c r="D3" s="93" t="s">
        <v>10</v>
      </c>
      <c r="E3" s="93" t="s">
        <v>74</v>
      </c>
      <c r="F3" s="93" t="s">
        <v>73</v>
      </c>
      <c r="G3" s="93" t="s">
        <v>72</v>
      </c>
      <c r="H3" s="93" t="s">
        <v>51</v>
      </c>
      <c r="I3" s="93" t="s">
        <v>269</v>
      </c>
      <c r="J3" s="93" t="s">
        <v>283</v>
      </c>
      <c r="K3" s="93" t="s">
        <v>5</v>
      </c>
      <c r="L3" s="93" t="s">
        <v>268</v>
      </c>
      <c r="M3" s="93" t="s">
        <v>198</v>
      </c>
      <c r="N3" s="93" t="s">
        <v>5</v>
      </c>
      <c r="O3" s="93" t="s">
        <v>234</v>
      </c>
      <c r="P3" s="93" t="s">
        <v>236</v>
      </c>
      <c r="Q3" s="96" t="s">
        <v>235</v>
      </c>
      <c r="R3" s="96" t="s">
        <v>133</v>
      </c>
      <c r="S3" s="244" t="s">
        <v>385</v>
      </c>
      <c r="T3" s="93" t="s">
        <v>2</v>
      </c>
      <c r="U3" s="93" t="s">
        <v>3</v>
      </c>
      <c r="V3" s="93" t="s">
        <v>50</v>
      </c>
      <c r="W3" s="93" t="s">
        <v>159</v>
      </c>
      <c r="X3" s="93" t="s">
        <v>249</v>
      </c>
      <c r="Y3" s="93" t="s">
        <v>4</v>
      </c>
      <c r="Z3" s="93" t="s">
        <v>407</v>
      </c>
      <c r="AA3" s="94" t="s">
        <v>138</v>
      </c>
    </row>
    <row r="4" spans="1:27" ht="13.5" thickBot="1">
      <c r="A4" s="133" t="s">
        <v>84</v>
      </c>
      <c r="B4" s="134"/>
      <c r="C4" s="230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227"/>
      <c r="R4" s="227"/>
      <c r="S4" s="228"/>
      <c r="T4" s="134"/>
      <c r="U4" s="134"/>
      <c r="V4" s="134"/>
      <c r="W4" s="134"/>
      <c r="X4" s="134"/>
      <c r="Y4" s="134"/>
      <c r="Z4" s="134"/>
      <c r="AA4" s="231"/>
    </row>
    <row r="5" spans="1:33" s="232" customFormat="1" ht="63.75">
      <c r="A5" s="299" t="s">
        <v>8</v>
      </c>
      <c r="B5" s="301" t="s">
        <v>379</v>
      </c>
      <c r="C5" s="303">
        <v>284</v>
      </c>
      <c r="D5" s="301" t="s">
        <v>11</v>
      </c>
      <c r="E5" s="301" t="s">
        <v>75</v>
      </c>
      <c r="F5" s="301" t="s">
        <v>75</v>
      </c>
      <c r="G5" s="160" t="s">
        <v>32</v>
      </c>
      <c r="H5" s="160" t="s">
        <v>365</v>
      </c>
      <c r="I5" s="160" t="s">
        <v>53</v>
      </c>
      <c r="J5" s="160" t="s">
        <v>290</v>
      </c>
      <c r="K5" s="160" t="s">
        <v>289</v>
      </c>
      <c r="L5" s="160"/>
      <c r="M5" s="160"/>
      <c r="N5" s="160"/>
      <c r="O5" s="160"/>
      <c r="P5" s="160" t="s">
        <v>213</v>
      </c>
      <c r="Q5" s="161">
        <v>28</v>
      </c>
      <c r="R5" s="161">
        <v>0.131</v>
      </c>
      <c r="S5" s="162">
        <f>Q5*C5</f>
        <v>7952</v>
      </c>
      <c r="T5" s="160" t="s">
        <v>54</v>
      </c>
      <c r="U5" s="160" t="s">
        <v>330</v>
      </c>
      <c r="V5" s="160" t="s">
        <v>329</v>
      </c>
      <c r="W5" s="160"/>
      <c r="X5" s="160" t="s">
        <v>250</v>
      </c>
      <c r="Y5" s="163"/>
      <c r="Z5" s="184"/>
      <c r="AA5" s="164" t="s">
        <v>224</v>
      </c>
      <c r="AB5" s="229"/>
      <c r="AC5" s="229"/>
      <c r="AD5" s="229"/>
      <c r="AE5" s="229"/>
      <c r="AF5" s="229"/>
      <c r="AG5" s="229"/>
    </row>
    <row r="6" spans="1:33" s="232" customFormat="1" ht="90" thickBot="1">
      <c r="A6" s="300"/>
      <c r="B6" s="302"/>
      <c r="C6" s="304"/>
      <c r="D6" s="302"/>
      <c r="E6" s="302"/>
      <c r="F6" s="302"/>
      <c r="G6" s="65" t="s">
        <v>32</v>
      </c>
      <c r="H6" s="65" t="s">
        <v>366</v>
      </c>
      <c r="I6" s="65" t="s">
        <v>260</v>
      </c>
      <c r="J6" s="65" t="s">
        <v>284</v>
      </c>
      <c r="K6" s="65" t="s">
        <v>192</v>
      </c>
      <c r="L6" s="65"/>
      <c r="M6" s="65"/>
      <c r="N6" s="65"/>
      <c r="O6" s="65"/>
      <c r="P6" s="65" t="s">
        <v>303</v>
      </c>
      <c r="Q6" s="225">
        <f>0.8*37.2</f>
        <v>29.760000000000005</v>
      </c>
      <c r="R6" s="225">
        <f>0.8/5</f>
        <v>0.16</v>
      </c>
      <c r="S6" s="66">
        <f>Q6*C5</f>
        <v>8451.840000000002</v>
      </c>
      <c r="T6" s="67">
        <v>0</v>
      </c>
      <c r="U6" s="65" t="s">
        <v>330</v>
      </c>
      <c r="V6" s="65" t="s">
        <v>257</v>
      </c>
      <c r="W6" s="65"/>
      <c r="X6" s="65"/>
      <c r="Y6" s="68"/>
      <c r="Z6" s="199" t="s">
        <v>293</v>
      </c>
      <c r="AA6" s="226" t="s">
        <v>264</v>
      </c>
      <c r="AB6" s="229"/>
      <c r="AC6" s="229"/>
      <c r="AD6" s="229"/>
      <c r="AE6" s="229"/>
      <c r="AF6" s="229"/>
      <c r="AG6" s="229"/>
    </row>
    <row r="7" spans="1:33" s="232" customFormat="1" ht="63.75">
      <c r="A7" s="299" t="s">
        <v>8</v>
      </c>
      <c r="B7" s="301" t="s">
        <v>380</v>
      </c>
      <c r="C7" s="303">
        <v>1107</v>
      </c>
      <c r="D7" s="301" t="s">
        <v>11</v>
      </c>
      <c r="E7" s="301" t="s">
        <v>75</v>
      </c>
      <c r="F7" s="301" t="s">
        <v>75</v>
      </c>
      <c r="G7" s="160" t="s">
        <v>32</v>
      </c>
      <c r="H7" s="160" t="s">
        <v>15</v>
      </c>
      <c r="I7" s="160" t="s">
        <v>53</v>
      </c>
      <c r="J7" s="160" t="s">
        <v>290</v>
      </c>
      <c r="K7" s="160" t="s">
        <v>289</v>
      </c>
      <c r="L7" s="160"/>
      <c r="M7" s="160"/>
      <c r="N7" s="160"/>
      <c r="O7" s="160"/>
      <c r="P7" s="160" t="s">
        <v>56</v>
      </c>
      <c r="Q7" s="161">
        <v>45</v>
      </c>
      <c r="R7" s="161">
        <v>0.252</v>
      </c>
      <c r="S7" s="162">
        <f>Q7*C7</f>
        <v>49815</v>
      </c>
      <c r="T7" s="160" t="s">
        <v>55</v>
      </c>
      <c r="U7" s="160" t="s">
        <v>330</v>
      </c>
      <c r="V7" s="160" t="s">
        <v>329</v>
      </c>
      <c r="W7" s="160"/>
      <c r="X7" s="160" t="s">
        <v>250</v>
      </c>
      <c r="Y7" s="163"/>
      <c r="Z7" s="184"/>
      <c r="AA7" s="164" t="s">
        <v>224</v>
      </c>
      <c r="AB7" s="229"/>
      <c r="AC7" s="229"/>
      <c r="AD7" s="229"/>
      <c r="AE7" s="229"/>
      <c r="AF7" s="229"/>
      <c r="AG7" s="229"/>
    </row>
    <row r="8" spans="1:33" s="232" customFormat="1" ht="51">
      <c r="A8" s="311"/>
      <c r="B8" s="312"/>
      <c r="C8" s="313"/>
      <c r="D8" s="312"/>
      <c r="E8" s="312"/>
      <c r="F8" s="312"/>
      <c r="G8" s="20" t="s">
        <v>32</v>
      </c>
      <c r="H8" s="20" t="s">
        <v>256</v>
      </c>
      <c r="I8" s="20" t="s">
        <v>260</v>
      </c>
      <c r="J8" s="20" t="s">
        <v>284</v>
      </c>
      <c r="K8" s="20" t="s">
        <v>192</v>
      </c>
      <c r="L8" s="20"/>
      <c r="M8" s="20"/>
      <c r="N8" s="20"/>
      <c r="O8" s="20"/>
      <c r="P8" s="20" t="s">
        <v>302</v>
      </c>
      <c r="Q8" s="106">
        <f>0.69*37</f>
        <v>25.529999999999998</v>
      </c>
      <c r="R8" s="106">
        <f>0.69/5</f>
        <v>0.13799999999999998</v>
      </c>
      <c r="S8" s="40">
        <f>Q8*C7</f>
        <v>28261.71</v>
      </c>
      <c r="T8" s="165">
        <v>0.56</v>
      </c>
      <c r="U8" s="20" t="s">
        <v>330</v>
      </c>
      <c r="V8" s="20" t="s">
        <v>257</v>
      </c>
      <c r="W8" s="20"/>
      <c r="X8" s="20"/>
      <c r="Y8" s="20"/>
      <c r="Z8" s="179"/>
      <c r="AA8" s="239" t="s">
        <v>264</v>
      </c>
      <c r="AB8" s="229"/>
      <c r="AC8" s="229"/>
      <c r="AD8" s="229"/>
      <c r="AE8" s="229"/>
      <c r="AF8" s="229"/>
      <c r="AG8" s="229"/>
    </row>
    <row r="9" spans="1:33" s="232" customFormat="1" ht="102.75" thickBot="1">
      <c r="A9" s="300"/>
      <c r="B9" s="302"/>
      <c r="C9" s="304"/>
      <c r="D9" s="302"/>
      <c r="E9" s="302"/>
      <c r="F9" s="302"/>
      <c r="G9" s="15" t="s">
        <v>32</v>
      </c>
      <c r="H9" s="220" t="s">
        <v>404</v>
      </c>
      <c r="I9" s="15" t="s">
        <v>260</v>
      </c>
      <c r="J9" s="15" t="s">
        <v>284</v>
      </c>
      <c r="K9" s="15" t="s">
        <v>192</v>
      </c>
      <c r="L9" s="220"/>
      <c r="M9" s="220"/>
      <c r="N9" s="220"/>
      <c r="O9" s="220"/>
      <c r="P9" s="220"/>
      <c r="Q9" s="223">
        <v>28</v>
      </c>
      <c r="R9" s="225">
        <v>0.147</v>
      </c>
      <c r="S9" s="66">
        <f>Q9*C7</f>
        <v>30996</v>
      </c>
      <c r="T9" s="234">
        <v>0.525</v>
      </c>
      <c r="U9" s="15" t="s">
        <v>330</v>
      </c>
      <c r="V9" s="15" t="s">
        <v>257</v>
      </c>
      <c r="W9" s="220"/>
      <c r="X9" s="220"/>
      <c r="Y9" s="220"/>
      <c r="Z9" s="200" t="s">
        <v>415</v>
      </c>
      <c r="AA9" s="251"/>
      <c r="AB9" s="229"/>
      <c r="AC9" s="229"/>
      <c r="AD9" s="229"/>
      <c r="AE9" s="229"/>
      <c r="AF9" s="229"/>
      <c r="AG9" s="229"/>
    </row>
    <row r="10" spans="1:33" s="232" customFormat="1" ht="63.75">
      <c r="A10" s="299" t="s">
        <v>8</v>
      </c>
      <c r="B10" s="301" t="s">
        <v>381</v>
      </c>
      <c r="C10" s="303">
        <v>176</v>
      </c>
      <c r="D10" s="301" t="s">
        <v>11</v>
      </c>
      <c r="E10" s="301" t="s">
        <v>75</v>
      </c>
      <c r="F10" s="301" t="s">
        <v>75</v>
      </c>
      <c r="G10" s="160" t="s">
        <v>41</v>
      </c>
      <c r="H10" s="160" t="s">
        <v>378</v>
      </c>
      <c r="I10" s="160" t="s">
        <v>53</v>
      </c>
      <c r="J10" s="160" t="s">
        <v>290</v>
      </c>
      <c r="K10" s="160" t="s">
        <v>289</v>
      </c>
      <c r="L10" s="160"/>
      <c r="M10" s="160"/>
      <c r="N10" s="160"/>
      <c r="O10" s="160"/>
      <c r="P10" s="160" t="s">
        <v>56</v>
      </c>
      <c r="Q10" s="161">
        <v>45</v>
      </c>
      <c r="R10" s="161">
        <v>0.252</v>
      </c>
      <c r="S10" s="162">
        <f>Q10*C10</f>
        <v>7920</v>
      </c>
      <c r="T10" s="160" t="s">
        <v>55</v>
      </c>
      <c r="U10" s="160" t="s">
        <v>330</v>
      </c>
      <c r="V10" s="160" t="s">
        <v>329</v>
      </c>
      <c r="W10" s="160"/>
      <c r="X10" s="160" t="s">
        <v>250</v>
      </c>
      <c r="Y10" s="163"/>
      <c r="Z10" s="184"/>
      <c r="AA10" s="164" t="s">
        <v>224</v>
      </c>
      <c r="AB10" s="229"/>
      <c r="AC10" s="229"/>
      <c r="AD10" s="229"/>
      <c r="AE10" s="229"/>
      <c r="AF10" s="229"/>
      <c r="AG10" s="229"/>
    </row>
    <row r="11" spans="1:33" s="232" customFormat="1" ht="51">
      <c r="A11" s="311"/>
      <c r="B11" s="312"/>
      <c r="C11" s="313"/>
      <c r="D11" s="312"/>
      <c r="E11" s="312"/>
      <c r="F11" s="312"/>
      <c r="G11" s="20" t="s">
        <v>41</v>
      </c>
      <c r="H11" s="20"/>
      <c r="I11" s="20" t="s">
        <v>260</v>
      </c>
      <c r="J11" s="20" t="s">
        <v>284</v>
      </c>
      <c r="K11" s="20" t="s">
        <v>192</v>
      </c>
      <c r="L11" s="20"/>
      <c r="M11" s="20"/>
      <c r="N11" s="20"/>
      <c r="O11" s="20"/>
      <c r="P11" s="20" t="s">
        <v>302</v>
      </c>
      <c r="Q11" s="106">
        <f>0.69*37</f>
        <v>25.529999999999998</v>
      </c>
      <c r="R11" s="106">
        <f>0.69/5</f>
        <v>0.13799999999999998</v>
      </c>
      <c r="S11" s="40">
        <f>Q11*C10</f>
        <v>4493.28</v>
      </c>
      <c r="T11" s="165">
        <v>0.56</v>
      </c>
      <c r="U11" s="20" t="s">
        <v>330</v>
      </c>
      <c r="V11" s="20" t="s">
        <v>257</v>
      </c>
      <c r="W11" s="20"/>
      <c r="X11" s="20"/>
      <c r="Y11" s="20"/>
      <c r="Z11" s="179"/>
      <c r="AA11" s="239" t="s">
        <v>264</v>
      </c>
      <c r="AB11" s="229"/>
      <c r="AC11" s="229"/>
      <c r="AD11" s="229"/>
      <c r="AE11" s="229"/>
      <c r="AF11" s="229"/>
      <c r="AG11" s="229"/>
    </row>
    <row r="12" spans="1:33" s="232" customFormat="1" ht="102.75" thickBot="1">
      <c r="A12" s="300"/>
      <c r="B12" s="302"/>
      <c r="C12" s="304"/>
      <c r="D12" s="302"/>
      <c r="E12" s="302"/>
      <c r="F12" s="302"/>
      <c r="G12" s="15" t="s">
        <v>41</v>
      </c>
      <c r="H12" s="220" t="s">
        <v>405</v>
      </c>
      <c r="I12" s="220" t="s">
        <v>260</v>
      </c>
      <c r="J12" s="15" t="s">
        <v>284</v>
      </c>
      <c r="K12" s="15" t="s">
        <v>192</v>
      </c>
      <c r="L12" s="220"/>
      <c r="M12" s="220"/>
      <c r="N12" s="220"/>
      <c r="O12" s="220"/>
      <c r="P12" s="220"/>
      <c r="Q12" s="223">
        <v>28</v>
      </c>
      <c r="R12" s="225">
        <v>0.147</v>
      </c>
      <c r="S12" s="233">
        <f>Q12*C10</f>
        <v>4928</v>
      </c>
      <c r="T12" s="234">
        <v>0.525</v>
      </c>
      <c r="U12" s="15" t="s">
        <v>330</v>
      </c>
      <c r="V12" s="15" t="s">
        <v>257</v>
      </c>
      <c r="W12" s="220"/>
      <c r="X12" s="220"/>
      <c r="Y12" s="220"/>
      <c r="Z12" s="200" t="s">
        <v>414</v>
      </c>
      <c r="AA12" s="251"/>
      <c r="AB12" s="229"/>
      <c r="AC12" s="229"/>
      <c r="AD12" s="229"/>
      <c r="AE12" s="229"/>
      <c r="AF12" s="229"/>
      <c r="AG12" s="229"/>
    </row>
    <row r="13" spans="1:33" s="232" customFormat="1" ht="63.75">
      <c r="A13" s="309" t="s">
        <v>8</v>
      </c>
      <c r="B13" s="307" t="s">
        <v>382</v>
      </c>
      <c r="C13" s="305">
        <v>26</v>
      </c>
      <c r="D13" s="307" t="s">
        <v>11</v>
      </c>
      <c r="E13" s="307" t="s">
        <v>75</v>
      </c>
      <c r="F13" s="307" t="s">
        <v>75</v>
      </c>
      <c r="G13" s="160" t="s">
        <v>45</v>
      </c>
      <c r="H13" s="160" t="s">
        <v>44</v>
      </c>
      <c r="I13" s="160" t="s">
        <v>53</v>
      </c>
      <c r="J13" s="160" t="s">
        <v>287</v>
      </c>
      <c r="K13" s="160" t="s">
        <v>288</v>
      </c>
      <c r="L13" s="160"/>
      <c r="M13" s="160"/>
      <c r="N13" s="160"/>
      <c r="O13" s="160"/>
      <c r="P13" s="160" t="s">
        <v>62</v>
      </c>
      <c r="Q13" s="161" t="s">
        <v>62</v>
      </c>
      <c r="R13" s="161" t="s">
        <v>62</v>
      </c>
      <c r="S13" s="162" t="s">
        <v>62</v>
      </c>
      <c r="T13" s="189">
        <v>0</v>
      </c>
      <c r="U13" s="160" t="s">
        <v>186</v>
      </c>
      <c r="V13" s="160" t="s">
        <v>329</v>
      </c>
      <c r="W13" s="160"/>
      <c r="X13" s="160" t="s">
        <v>250</v>
      </c>
      <c r="Y13" s="163"/>
      <c r="Z13" s="184"/>
      <c r="AA13" s="164" t="s">
        <v>225</v>
      </c>
      <c r="AB13" s="229"/>
      <c r="AC13" s="229"/>
      <c r="AD13" s="229"/>
      <c r="AE13" s="229"/>
      <c r="AF13" s="229"/>
      <c r="AG13" s="229"/>
    </row>
    <row r="14" spans="1:33" s="232" customFormat="1" ht="39" thickBot="1">
      <c r="A14" s="331"/>
      <c r="B14" s="341"/>
      <c r="C14" s="342"/>
      <c r="D14" s="341"/>
      <c r="E14" s="341"/>
      <c r="F14" s="341"/>
      <c r="G14" s="13" t="s">
        <v>45</v>
      </c>
      <c r="H14" s="13" t="s">
        <v>383</v>
      </c>
      <c r="I14" s="13" t="s">
        <v>260</v>
      </c>
      <c r="J14" s="13" t="s">
        <v>287</v>
      </c>
      <c r="K14" s="14" t="s">
        <v>288</v>
      </c>
      <c r="L14" s="14"/>
      <c r="M14" s="14"/>
      <c r="N14" s="14"/>
      <c r="O14" s="14"/>
      <c r="P14" s="14" t="s">
        <v>62</v>
      </c>
      <c r="Q14" s="218" t="s">
        <v>62</v>
      </c>
      <c r="R14" s="218" t="s">
        <v>62</v>
      </c>
      <c r="S14" s="203" t="s">
        <v>62</v>
      </c>
      <c r="T14" s="235"/>
      <c r="U14" s="13" t="s">
        <v>186</v>
      </c>
      <c r="V14" s="13"/>
      <c r="W14" s="13"/>
      <c r="X14" s="13"/>
      <c r="Y14" s="237"/>
      <c r="Z14" s="236"/>
      <c r="AA14" s="238"/>
      <c r="AB14" s="229"/>
      <c r="AC14" s="229"/>
      <c r="AD14" s="229"/>
      <c r="AE14" s="229"/>
      <c r="AF14" s="229"/>
      <c r="AG14" s="229"/>
    </row>
    <row r="15" spans="1:33" s="232" customFormat="1" ht="89.25">
      <c r="A15" s="309" t="s">
        <v>8</v>
      </c>
      <c r="B15" s="307" t="s">
        <v>315</v>
      </c>
      <c r="C15" s="305">
        <v>2527</v>
      </c>
      <c r="D15" s="307" t="s">
        <v>11</v>
      </c>
      <c r="E15" s="307" t="s">
        <v>75</v>
      </c>
      <c r="F15" s="307" t="s">
        <v>75</v>
      </c>
      <c r="G15" s="60" t="s">
        <v>374</v>
      </c>
      <c r="H15" s="60" t="s">
        <v>60</v>
      </c>
      <c r="I15" s="60" t="s">
        <v>59</v>
      </c>
      <c r="J15" s="60" t="s">
        <v>160</v>
      </c>
      <c r="K15" s="60" t="s">
        <v>161</v>
      </c>
      <c r="L15" s="60"/>
      <c r="M15" s="60"/>
      <c r="N15" s="60"/>
      <c r="O15" s="60"/>
      <c r="P15" s="60" t="s">
        <v>77</v>
      </c>
      <c r="Q15" s="98">
        <f>R15/12*1000</f>
        <v>8.666666666666666</v>
      </c>
      <c r="R15" s="98">
        <v>0.104</v>
      </c>
      <c r="S15" s="61">
        <f>Q15*C15</f>
        <v>21900.666666666664</v>
      </c>
      <c r="T15" s="62">
        <v>0</v>
      </c>
      <c r="U15" s="60" t="s">
        <v>208</v>
      </c>
      <c r="V15" s="60" t="s">
        <v>63</v>
      </c>
      <c r="W15" s="60" t="s">
        <v>316</v>
      </c>
      <c r="X15" s="60" t="s">
        <v>250</v>
      </c>
      <c r="Y15" s="63"/>
      <c r="Z15" s="190" t="s">
        <v>292</v>
      </c>
      <c r="AA15" s="64" t="s">
        <v>162</v>
      </c>
      <c r="AB15" s="229"/>
      <c r="AC15" s="229"/>
      <c r="AD15" s="229"/>
      <c r="AE15" s="229"/>
      <c r="AF15" s="229"/>
      <c r="AG15" s="229"/>
    </row>
    <row r="16" spans="1:33" s="232" customFormat="1" ht="51">
      <c r="A16" s="319"/>
      <c r="B16" s="321"/>
      <c r="C16" s="323"/>
      <c r="D16" s="321"/>
      <c r="E16" s="321"/>
      <c r="F16" s="321"/>
      <c r="G16" s="20" t="s">
        <v>41</v>
      </c>
      <c r="H16" s="20" t="s">
        <v>258</v>
      </c>
      <c r="I16" s="20" t="s">
        <v>260</v>
      </c>
      <c r="J16" s="20" t="s">
        <v>284</v>
      </c>
      <c r="K16" s="20" t="s">
        <v>192</v>
      </c>
      <c r="L16" s="20"/>
      <c r="M16" s="20"/>
      <c r="N16" s="20"/>
      <c r="O16" s="20"/>
      <c r="P16" s="20" t="s">
        <v>303</v>
      </c>
      <c r="Q16" s="106">
        <f>0.8*37.2</f>
        <v>29.760000000000005</v>
      </c>
      <c r="R16" s="106">
        <f>0.8/5</f>
        <v>0.16</v>
      </c>
      <c r="S16" s="40">
        <f>Q16*C15</f>
        <v>75203.52000000002</v>
      </c>
      <c r="T16" s="165">
        <v>0</v>
      </c>
      <c r="U16" s="20" t="s">
        <v>330</v>
      </c>
      <c r="V16" s="20" t="s">
        <v>257</v>
      </c>
      <c r="W16" s="20"/>
      <c r="X16" s="20"/>
      <c r="Y16" s="21"/>
      <c r="Z16" s="179"/>
      <c r="AA16" s="239" t="s">
        <v>264</v>
      </c>
      <c r="AB16" s="229"/>
      <c r="AC16" s="229"/>
      <c r="AD16" s="229"/>
      <c r="AE16" s="229"/>
      <c r="AF16" s="229"/>
      <c r="AG16" s="229"/>
    </row>
    <row r="17" spans="1:33" s="232" customFormat="1" ht="51">
      <c r="A17" s="319"/>
      <c r="B17" s="321"/>
      <c r="C17" s="323"/>
      <c r="D17" s="321"/>
      <c r="E17" s="321"/>
      <c r="F17" s="321"/>
      <c r="G17" s="20" t="s">
        <v>312</v>
      </c>
      <c r="H17" s="20" t="s">
        <v>52</v>
      </c>
      <c r="I17" s="20" t="s">
        <v>354</v>
      </c>
      <c r="J17" s="20"/>
      <c r="K17" s="20"/>
      <c r="L17" s="20"/>
      <c r="M17" s="20" t="s">
        <v>149</v>
      </c>
      <c r="N17" s="20" t="s">
        <v>149</v>
      </c>
      <c r="O17" s="20" t="s">
        <v>310</v>
      </c>
      <c r="P17" s="20" t="s">
        <v>149</v>
      </c>
      <c r="Q17" s="106">
        <f>R17*2300/100*8</f>
        <v>30.544</v>
      </c>
      <c r="R17" s="106">
        <f>0.139+0.027</f>
        <v>0.166</v>
      </c>
      <c r="S17" s="40">
        <f>Q17*C15</f>
        <v>77184.688</v>
      </c>
      <c r="T17" s="165">
        <v>0</v>
      </c>
      <c r="U17" s="20" t="s">
        <v>330</v>
      </c>
      <c r="V17" s="166"/>
      <c r="W17" s="20" t="s">
        <v>355</v>
      </c>
      <c r="X17" s="20"/>
      <c r="Y17" s="21"/>
      <c r="Z17" s="179"/>
      <c r="AA17" s="167" t="s">
        <v>261</v>
      </c>
      <c r="AB17" s="229"/>
      <c r="AC17" s="229"/>
      <c r="AD17" s="229"/>
      <c r="AE17" s="229"/>
      <c r="AF17" s="229"/>
      <c r="AG17" s="229"/>
    </row>
    <row r="18" spans="1:33" s="232" customFormat="1" ht="51.75" thickBot="1">
      <c r="A18" s="331"/>
      <c r="B18" s="341"/>
      <c r="C18" s="342"/>
      <c r="D18" s="341"/>
      <c r="E18" s="341"/>
      <c r="F18" s="341"/>
      <c r="G18" s="32" t="s">
        <v>322</v>
      </c>
      <c r="H18" s="32" t="s">
        <v>76</v>
      </c>
      <c r="I18" s="32" t="s">
        <v>354</v>
      </c>
      <c r="J18" s="32"/>
      <c r="K18" s="32"/>
      <c r="L18" s="32"/>
      <c r="M18" s="32"/>
      <c r="N18" s="32"/>
      <c r="O18" s="32" t="s">
        <v>328</v>
      </c>
      <c r="P18" s="32" t="s">
        <v>326</v>
      </c>
      <c r="Q18" s="107">
        <f>70/9.92</f>
        <v>7.056451612903226</v>
      </c>
      <c r="R18" s="107">
        <v>0.07</v>
      </c>
      <c r="S18" s="41">
        <f>Q18*C15</f>
        <v>17831.65322580645</v>
      </c>
      <c r="T18" s="32" t="s">
        <v>75</v>
      </c>
      <c r="U18" s="32" t="s">
        <v>208</v>
      </c>
      <c r="V18" s="32"/>
      <c r="W18" s="32" t="s">
        <v>355</v>
      </c>
      <c r="X18" s="32"/>
      <c r="Y18" s="32"/>
      <c r="Z18" s="202"/>
      <c r="AA18" s="240" t="s">
        <v>215</v>
      </c>
      <c r="AB18" s="229"/>
      <c r="AC18" s="229"/>
      <c r="AD18" s="229"/>
      <c r="AE18" s="229"/>
      <c r="AF18" s="229"/>
      <c r="AG18" s="229"/>
    </row>
    <row r="19" spans="1:33" s="232" customFormat="1" ht="89.25">
      <c r="A19" s="309" t="s">
        <v>8</v>
      </c>
      <c r="B19" s="307" t="s">
        <v>376</v>
      </c>
      <c r="C19" s="305">
        <v>315</v>
      </c>
      <c r="D19" s="307" t="s">
        <v>11</v>
      </c>
      <c r="E19" s="307" t="s">
        <v>75</v>
      </c>
      <c r="F19" s="307" t="s">
        <v>75</v>
      </c>
      <c r="G19" s="60" t="s">
        <v>41</v>
      </c>
      <c r="H19" s="60" t="s">
        <v>258</v>
      </c>
      <c r="I19" s="60" t="s">
        <v>260</v>
      </c>
      <c r="J19" s="60" t="s">
        <v>284</v>
      </c>
      <c r="K19" s="60" t="s">
        <v>192</v>
      </c>
      <c r="L19" s="60"/>
      <c r="M19" s="60"/>
      <c r="N19" s="60"/>
      <c r="O19" s="60"/>
      <c r="P19" s="60" t="s">
        <v>303</v>
      </c>
      <c r="Q19" s="98">
        <f>0.8*37.2</f>
        <v>29.760000000000005</v>
      </c>
      <c r="R19" s="98">
        <f>0.8/5</f>
        <v>0.16</v>
      </c>
      <c r="S19" s="61">
        <f>Q19*C19</f>
        <v>9374.400000000001</v>
      </c>
      <c r="T19" s="62">
        <v>0</v>
      </c>
      <c r="U19" s="60" t="s">
        <v>330</v>
      </c>
      <c r="V19" s="60" t="s">
        <v>257</v>
      </c>
      <c r="W19" s="60"/>
      <c r="X19" s="60"/>
      <c r="Y19" s="63"/>
      <c r="Z19" s="190" t="s">
        <v>293</v>
      </c>
      <c r="AA19" s="241" t="s">
        <v>264</v>
      </c>
      <c r="AB19" s="229"/>
      <c r="AC19" s="229"/>
      <c r="AD19" s="229"/>
      <c r="AE19" s="229"/>
      <c r="AF19" s="229"/>
      <c r="AG19" s="229"/>
    </row>
    <row r="20" spans="1:33" s="232" customFormat="1" ht="64.5" thickBot="1">
      <c r="A20" s="310"/>
      <c r="B20" s="308"/>
      <c r="C20" s="306"/>
      <c r="D20" s="308"/>
      <c r="E20" s="308"/>
      <c r="F20" s="308"/>
      <c r="G20" s="157" t="s">
        <v>41</v>
      </c>
      <c r="H20" s="157" t="s">
        <v>30</v>
      </c>
      <c r="I20" s="157" t="s">
        <v>53</v>
      </c>
      <c r="J20" s="157" t="s">
        <v>290</v>
      </c>
      <c r="K20" s="157" t="s">
        <v>289</v>
      </c>
      <c r="L20" s="157"/>
      <c r="M20" s="157"/>
      <c r="N20" s="157"/>
      <c r="O20" s="157"/>
      <c r="P20" s="157" t="s">
        <v>213</v>
      </c>
      <c r="Q20" s="158">
        <v>24</v>
      </c>
      <c r="R20" s="158">
        <v>0.131</v>
      </c>
      <c r="S20" s="159">
        <f>Q20*C19</f>
        <v>7560</v>
      </c>
      <c r="T20" s="157" t="s">
        <v>54</v>
      </c>
      <c r="U20" s="157" t="s">
        <v>330</v>
      </c>
      <c r="V20" s="157" t="s">
        <v>329</v>
      </c>
      <c r="W20" s="157"/>
      <c r="X20" s="157" t="s">
        <v>250</v>
      </c>
      <c r="Y20" s="242"/>
      <c r="Z20" s="180"/>
      <c r="AA20" s="243" t="s">
        <v>224</v>
      </c>
      <c r="AB20" s="229"/>
      <c r="AC20" s="229"/>
      <c r="AD20" s="229"/>
      <c r="AE20" s="229"/>
      <c r="AF20" s="229"/>
      <c r="AG20" s="229"/>
    </row>
    <row r="21" spans="1:33" s="232" customFormat="1" ht="63.75">
      <c r="A21" s="309" t="s">
        <v>8</v>
      </c>
      <c r="B21" s="307" t="s">
        <v>406</v>
      </c>
      <c r="C21" s="305">
        <v>3196</v>
      </c>
      <c r="D21" s="307" t="s">
        <v>11</v>
      </c>
      <c r="E21" s="307" t="s">
        <v>75</v>
      </c>
      <c r="F21" s="307" t="s">
        <v>75</v>
      </c>
      <c r="G21" s="60" t="s">
        <v>32</v>
      </c>
      <c r="H21" s="60" t="s">
        <v>371</v>
      </c>
      <c r="I21" s="60" t="s">
        <v>260</v>
      </c>
      <c r="J21" s="60" t="s">
        <v>284</v>
      </c>
      <c r="K21" s="60" t="s">
        <v>192</v>
      </c>
      <c r="L21" s="60"/>
      <c r="M21" s="60"/>
      <c r="N21" s="60"/>
      <c r="O21" s="60"/>
      <c r="P21" s="60"/>
      <c r="Q21" s="98">
        <v>23</v>
      </c>
      <c r="R21" s="98">
        <v>0.124</v>
      </c>
      <c r="S21" s="61">
        <f>Q21*C21</f>
        <v>73508</v>
      </c>
      <c r="T21" s="62">
        <v>1</v>
      </c>
      <c r="U21" s="60" t="s">
        <v>330</v>
      </c>
      <c r="V21" s="60" t="s">
        <v>372</v>
      </c>
      <c r="W21" s="60"/>
      <c r="X21" s="60"/>
      <c r="Y21" s="63"/>
      <c r="Z21" s="190" t="s">
        <v>373</v>
      </c>
      <c r="AA21" s="241"/>
      <c r="AB21" s="229"/>
      <c r="AC21" s="229"/>
      <c r="AD21" s="229"/>
      <c r="AE21" s="229"/>
      <c r="AF21" s="229"/>
      <c r="AG21" s="229"/>
    </row>
    <row r="22" spans="1:33" s="232" customFormat="1" ht="64.5" thickBot="1">
      <c r="A22" s="310"/>
      <c r="B22" s="308"/>
      <c r="C22" s="306"/>
      <c r="D22" s="308"/>
      <c r="E22" s="308"/>
      <c r="F22" s="308"/>
      <c r="G22" s="157" t="s">
        <v>32</v>
      </c>
      <c r="H22" s="157" t="s">
        <v>365</v>
      </c>
      <c r="I22" s="157" t="s">
        <v>53</v>
      </c>
      <c r="J22" s="157" t="s">
        <v>290</v>
      </c>
      <c r="K22" s="157" t="s">
        <v>289</v>
      </c>
      <c r="L22" s="157"/>
      <c r="M22" s="157"/>
      <c r="N22" s="157"/>
      <c r="O22" s="157"/>
      <c r="P22" s="157" t="s">
        <v>213</v>
      </c>
      <c r="Q22" s="158">
        <v>28</v>
      </c>
      <c r="R22" s="158">
        <v>0.131</v>
      </c>
      <c r="S22" s="159">
        <f>Q22*C21</f>
        <v>89488</v>
      </c>
      <c r="T22" s="157" t="s">
        <v>54</v>
      </c>
      <c r="U22" s="157" t="s">
        <v>330</v>
      </c>
      <c r="V22" s="157" t="s">
        <v>329</v>
      </c>
      <c r="W22" s="157"/>
      <c r="X22" s="157" t="s">
        <v>250</v>
      </c>
      <c r="Y22" s="242"/>
      <c r="Z22" s="180"/>
      <c r="AA22" s="243" t="s">
        <v>224</v>
      </c>
      <c r="AB22" s="229"/>
      <c r="AC22" s="229"/>
      <c r="AD22" s="229"/>
      <c r="AE22" s="229"/>
      <c r="AF22" s="229"/>
      <c r="AG22" s="229"/>
    </row>
    <row r="23" spans="1:33" s="132" customFormat="1" ht="26.25" thickBot="1">
      <c r="A23" s="69" t="s">
        <v>176</v>
      </c>
      <c r="B23" s="70" t="s">
        <v>180</v>
      </c>
      <c r="C23" s="139"/>
      <c r="D23" s="70" t="s">
        <v>11</v>
      </c>
      <c r="E23" s="70" t="s">
        <v>75</v>
      </c>
      <c r="F23" s="70" t="s">
        <v>75</v>
      </c>
      <c r="G23" s="70" t="s">
        <v>177</v>
      </c>
      <c r="H23" s="70" t="s">
        <v>178</v>
      </c>
      <c r="I23" s="70" t="s">
        <v>179</v>
      </c>
      <c r="J23" s="70" t="s">
        <v>181</v>
      </c>
      <c r="K23" s="70" t="s">
        <v>182</v>
      </c>
      <c r="L23" s="70"/>
      <c r="M23" s="70" t="s">
        <v>181</v>
      </c>
      <c r="N23" s="70" t="s">
        <v>182</v>
      </c>
      <c r="O23" s="70"/>
      <c r="P23" s="70"/>
      <c r="Q23" s="101"/>
      <c r="R23" s="101"/>
      <c r="S23" s="72">
        <f>Q23*C23</f>
        <v>0</v>
      </c>
      <c r="T23" s="75">
        <v>1</v>
      </c>
      <c r="U23" s="70" t="s">
        <v>64</v>
      </c>
      <c r="V23" s="70"/>
      <c r="W23" s="70" t="s">
        <v>183</v>
      </c>
      <c r="X23" s="70"/>
      <c r="Y23" s="73"/>
      <c r="Z23" s="193" t="s">
        <v>296</v>
      </c>
      <c r="AA23" s="74"/>
      <c r="AB23" s="1"/>
      <c r="AC23" s="1"/>
      <c r="AD23" s="1"/>
      <c r="AE23" s="1"/>
      <c r="AF23" s="1"/>
      <c r="AG23" s="1"/>
    </row>
    <row r="24" spans="1:33" s="8" customFormat="1" ht="13.5" thickBot="1">
      <c r="A24" s="47" t="s">
        <v>83</v>
      </c>
      <c r="B24" s="48"/>
      <c r="C24" s="140"/>
      <c r="D24" s="48"/>
      <c r="E24" s="49"/>
      <c r="F24" s="49"/>
      <c r="G24" s="49"/>
      <c r="H24" s="50"/>
      <c r="I24" s="49"/>
      <c r="J24" s="49"/>
      <c r="K24" s="49"/>
      <c r="L24" s="49"/>
      <c r="M24" s="49"/>
      <c r="N24" s="49"/>
      <c r="O24" s="49"/>
      <c r="P24" s="49"/>
      <c r="Q24" s="102"/>
      <c r="R24" s="102"/>
      <c r="S24" s="51"/>
      <c r="T24" s="50"/>
      <c r="U24" s="50"/>
      <c r="V24" s="50"/>
      <c r="W24" s="49"/>
      <c r="X24" s="49"/>
      <c r="Y24" s="50"/>
      <c r="Z24" s="198"/>
      <c r="AA24" s="52"/>
      <c r="AB24" s="6"/>
      <c r="AC24" s="6"/>
      <c r="AD24" s="6"/>
      <c r="AE24" s="7"/>
      <c r="AF24" s="7"/>
      <c r="AG24" s="7"/>
    </row>
    <row r="25" spans="1:33" s="8" customFormat="1" ht="63.75">
      <c r="A25" s="309" t="s">
        <v>9</v>
      </c>
      <c r="B25" s="307" t="s">
        <v>370</v>
      </c>
      <c r="C25" s="305">
        <v>1859</v>
      </c>
      <c r="D25" s="307" t="s">
        <v>12</v>
      </c>
      <c r="E25" s="307" t="s">
        <v>75</v>
      </c>
      <c r="F25" s="307" t="s">
        <v>75</v>
      </c>
      <c r="G25" s="60" t="s">
        <v>46</v>
      </c>
      <c r="H25" s="160" t="s">
        <v>172</v>
      </c>
      <c r="I25" s="160" t="s">
        <v>49</v>
      </c>
      <c r="J25" s="160" t="s">
        <v>285</v>
      </c>
      <c r="K25" s="160" t="s">
        <v>286</v>
      </c>
      <c r="L25" s="160"/>
      <c r="M25" s="160"/>
      <c r="N25" s="160"/>
      <c r="O25" s="160"/>
      <c r="P25" s="160" t="s">
        <v>334</v>
      </c>
      <c r="Q25" s="161">
        <f>R25*125*0.914</f>
        <v>22.050250000000002</v>
      </c>
      <c r="R25" s="161">
        <v>0.193</v>
      </c>
      <c r="S25" s="162">
        <f>Q25*C25/2</f>
        <v>20495.707375</v>
      </c>
      <c r="T25" s="189">
        <v>0.82</v>
      </c>
      <c r="U25" s="160" t="s">
        <v>64</v>
      </c>
      <c r="V25" s="160" t="s">
        <v>185</v>
      </c>
      <c r="W25" s="160" t="s">
        <v>332</v>
      </c>
      <c r="X25" s="160"/>
      <c r="Y25" s="163"/>
      <c r="Z25" s="184"/>
      <c r="AA25" s="164" t="s">
        <v>304</v>
      </c>
      <c r="AB25" s="6"/>
      <c r="AC25" s="6"/>
      <c r="AD25" s="6"/>
      <c r="AE25" s="7"/>
      <c r="AF25" s="7"/>
      <c r="AG25" s="7"/>
    </row>
    <row r="26" spans="1:33" s="8" customFormat="1" ht="77.25" thickBot="1">
      <c r="A26" s="310"/>
      <c r="B26" s="308"/>
      <c r="C26" s="306"/>
      <c r="D26" s="308"/>
      <c r="E26" s="308"/>
      <c r="F26" s="308"/>
      <c r="G26" s="65" t="s">
        <v>172</v>
      </c>
      <c r="H26" s="14" t="s">
        <v>172</v>
      </c>
      <c r="I26" s="149" t="s">
        <v>354</v>
      </c>
      <c r="J26" s="149"/>
      <c r="K26" s="149"/>
      <c r="L26" s="149"/>
      <c r="M26" s="65"/>
      <c r="N26" s="149" t="s">
        <v>149</v>
      </c>
      <c r="O26" s="65" t="s">
        <v>310</v>
      </c>
      <c r="P26" s="65" t="s">
        <v>337</v>
      </c>
      <c r="Q26" s="214">
        <f>R26*2300/18.4</f>
        <v>22.5</v>
      </c>
      <c r="R26" s="128">
        <v>0.18</v>
      </c>
      <c r="S26" s="66">
        <f>Q26*C25/2</f>
        <v>20913.75</v>
      </c>
      <c r="T26" s="67">
        <v>0</v>
      </c>
      <c r="U26" s="65" t="s">
        <v>64</v>
      </c>
      <c r="V26" s="149"/>
      <c r="W26" s="65" t="s">
        <v>356</v>
      </c>
      <c r="X26" s="65"/>
      <c r="Y26" s="68"/>
      <c r="Z26" s="199" t="s">
        <v>384</v>
      </c>
      <c r="AA26" s="131" t="s">
        <v>233</v>
      </c>
      <c r="AB26" s="6"/>
      <c r="AC26" s="6"/>
      <c r="AD26" s="6"/>
      <c r="AE26" s="7"/>
      <c r="AF26" s="7"/>
      <c r="AG26" s="7"/>
    </row>
    <row r="27" spans="1:33" s="8" customFormat="1" ht="38.25">
      <c r="A27" s="299" t="s">
        <v>13</v>
      </c>
      <c r="B27" s="301" t="s">
        <v>370</v>
      </c>
      <c r="C27" s="303">
        <v>2918</v>
      </c>
      <c r="D27" s="301" t="s">
        <v>12</v>
      </c>
      <c r="E27" s="301" t="s">
        <v>75</v>
      </c>
      <c r="F27" s="301" t="s">
        <v>75</v>
      </c>
      <c r="G27" s="160" t="s">
        <v>46</v>
      </c>
      <c r="H27" s="160" t="s">
        <v>31</v>
      </c>
      <c r="I27" s="160" t="s">
        <v>49</v>
      </c>
      <c r="J27" s="160" t="s">
        <v>285</v>
      </c>
      <c r="K27" s="160" t="s">
        <v>286</v>
      </c>
      <c r="L27" s="160"/>
      <c r="M27" s="160"/>
      <c r="N27" s="160"/>
      <c r="O27" s="160"/>
      <c r="P27" s="160" t="s">
        <v>335</v>
      </c>
      <c r="Q27" s="161">
        <f>R27*15*0.914</f>
        <v>2.64603</v>
      </c>
      <c r="R27" s="161">
        <v>0.193</v>
      </c>
      <c r="S27" s="162">
        <f>Q27*C27/2</f>
        <v>3860.5577700000003</v>
      </c>
      <c r="T27" s="189">
        <v>0.82</v>
      </c>
      <c r="U27" s="160" t="s">
        <v>64</v>
      </c>
      <c r="V27" s="160" t="s">
        <v>185</v>
      </c>
      <c r="W27" s="160" t="s">
        <v>336</v>
      </c>
      <c r="X27" s="160"/>
      <c r="Y27" s="163"/>
      <c r="Z27" s="184"/>
      <c r="AA27" s="164" t="s">
        <v>226</v>
      </c>
      <c r="AB27" s="6"/>
      <c r="AC27" s="6"/>
      <c r="AD27" s="6"/>
      <c r="AE27" s="7"/>
      <c r="AF27" s="7"/>
      <c r="AG27" s="7"/>
    </row>
    <row r="28" spans="1:33" s="8" customFormat="1" ht="77.25" thickBot="1">
      <c r="A28" s="300"/>
      <c r="B28" s="302"/>
      <c r="C28" s="304"/>
      <c r="D28" s="302"/>
      <c r="E28" s="302"/>
      <c r="F28" s="302"/>
      <c r="G28" s="116" t="s">
        <v>248</v>
      </c>
      <c r="H28" s="65" t="s">
        <v>31</v>
      </c>
      <c r="I28" s="148" t="s">
        <v>354</v>
      </c>
      <c r="J28" s="148"/>
      <c r="K28" s="148"/>
      <c r="L28" s="148"/>
      <c r="M28" s="116"/>
      <c r="N28" s="148" t="s">
        <v>149</v>
      </c>
      <c r="O28" s="116" t="s">
        <v>310</v>
      </c>
      <c r="P28" s="116" t="s">
        <v>338</v>
      </c>
      <c r="Q28" s="128">
        <f>R28*2300/145.9</f>
        <v>2.8375599725839615</v>
      </c>
      <c r="R28" s="128">
        <v>0.18</v>
      </c>
      <c r="S28" s="129">
        <f>Q28*C27/2</f>
        <v>4140</v>
      </c>
      <c r="T28" s="150">
        <v>0</v>
      </c>
      <c r="U28" s="116" t="s">
        <v>64</v>
      </c>
      <c r="V28" s="148"/>
      <c r="W28" s="65" t="s">
        <v>357</v>
      </c>
      <c r="X28" s="116"/>
      <c r="Y28" s="130"/>
      <c r="Z28" s="199" t="s">
        <v>384</v>
      </c>
      <c r="AA28" s="131" t="s">
        <v>233</v>
      </c>
      <c r="AB28" s="6"/>
      <c r="AC28" s="6"/>
      <c r="AD28" s="6"/>
      <c r="AE28" s="7"/>
      <c r="AF28" s="7"/>
      <c r="AG28" s="7"/>
    </row>
    <row r="29" spans="1:33" s="8" customFormat="1" ht="13.5" thickBot="1">
      <c r="A29" s="53" t="s">
        <v>363</v>
      </c>
      <c r="B29" s="151"/>
      <c r="C29" s="207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6"/>
      <c r="Q29" s="277"/>
      <c r="R29" s="277"/>
      <c r="S29" s="278"/>
      <c r="T29" s="275"/>
      <c r="U29" s="276"/>
      <c r="V29" s="276"/>
      <c r="W29" s="275"/>
      <c r="X29" s="275"/>
      <c r="Y29" s="276"/>
      <c r="Z29" s="279"/>
      <c r="AA29" s="280"/>
      <c r="AB29" s="6"/>
      <c r="AC29" s="6"/>
      <c r="AD29" s="6"/>
      <c r="AE29" s="7"/>
      <c r="AF29" s="7"/>
      <c r="AG29" s="7"/>
    </row>
    <row r="30" spans="1:33" s="8" customFormat="1" ht="64.5" customHeight="1" hidden="1" thickBot="1">
      <c r="A30" s="14" t="s">
        <v>27</v>
      </c>
      <c r="B30" s="14" t="s">
        <v>14</v>
      </c>
      <c r="C30" s="142">
        <f>264+477</f>
        <v>741</v>
      </c>
      <c r="D30" s="14" t="s">
        <v>11</v>
      </c>
      <c r="E30" s="14"/>
      <c r="F30" s="14"/>
      <c r="G30" s="14" t="s">
        <v>35</v>
      </c>
      <c r="H30" s="16" t="s">
        <v>61</v>
      </c>
      <c r="I30" s="14"/>
      <c r="J30" s="14"/>
      <c r="K30" s="14"/>
      <c r="L30" s="14"/>
      <c r="M30" s="14"/>
      <c r="N30" s="14"/>
      <c r="O30" s="14"/>
      <c r="P30" s="16" t="s">
        <v>67</v>
      </c>
      <c r="Q30" s="103"/>
      <c r="R30" s="103"/>
      <c r="S30" s="38"/>
      <c r="T30" s="14"/>
      <c r="U30" s="16"/>
      <c r="V30" s="16"/>
      <c r="W30" s="14"/>
      <c r="X30" s="14"/>
      <c r="Y30" s="16"/>
      <c r="Z30" s="197"/>
      <c r="AA30" s="274"/>
      <c r="AB30" s="6"/>
      <c r="AC30" s="6"/>
      <c r="AD30" s="6"/>
      <c r="AE30" s="7"/>
      <c r="AF30" s="7"/>
      <c r="AG30" s="7"/>
    </row>
    <row r="31" spans="1:33" s="8" customFormat="1" ht="64.5" hidden="1" thickBot="1">
      <c r="A31" s="15" t="s">
        <v>27</v>
      </c>
      <c r="B31" s="15" t="s">
        <v>37</v>
      </c>
      <c r="C31" s="143">
        <f>162</f>
        <v>162</v>
      </c>
      <c r="D31" s="15" t="s">
        <v>11</v>
      </c>
      <c r="E31" s="15"/>
      <c r="F31" s="15"/>
      <c r="G31" s="15" t="s">
        <v>36</v>
      </c>
      <c r="H31" s="17" t="s">
        <v>61</v>
      </c>
      <c r="I31" s="15"/>
      <c r="J31" s="15"/>
      <c r="K31" s="15"/>
      <c r="L31" s="15"/>
      <c r="M31" s="15"/>
      <c r="N31" s="15"/>
      <c r="O31" s="15"/>
      <c r="P31" s="17" t="s">
        <v>67</v>
      </c>
      <c r="Q31" s="104"/>
      <c r="R31" s="104"/>
      <c r="S31" s="39"/>
      <c r="T31" s="15"/>
      <c r="U31" s="17"/>
      <c r="V31" s="17"/>
      <c r="W31" s="15"/>
      <c r="X31" s="15"/>
      <c r="Y31" s="17"/>
      <c r="Z31" s="200"/>
      <c r="AA31" s="30"/>
      <c r="AB31" s="6"/>
      <c r="AC31" s="6"/>
      <c r="AD31" s="6"/>
      <c r="AE31" s="7"/>
      <c r="AF31" s="7"/>
      <c r="AG31" s="7"/>
    </row>
    <row r="32" spans="1:33" s="8" customFormat="1" ht="39" hidden="1" thickBot="1">
      <c r="A32" s="15" t="s">
        <v>27</v>
      </c>
      <c r="B32" s="15" t="s">
        <v>14</v>
      </c>
      <c r="C32" s="143">
        <v>283</v>
      </c>
      <c r="D32" s="15" t="s">
        <v>11</v>
      </c>
      <c r="E32" s="15"/>
      <c r="F32" s="15"/>
      <c r="G32" s="15" t="s">
        <v>34</v>
      </c>
      <c r="H32" s="17" t="s">
        <v>61</v>
      </c>
      <c r="I32" s="15"/>
      <c r="J32" s="15"/>
      <c r="K32" s="15"/>
      <c r="L32" s="15"/>
      <c r="M32" s="15"/>
      <c r="N32" s="15"/>
      <c r="O32" s="15"/>
      <c r="P32" s="15"/>
      <c r="Q32" s="99"/>
      <c r="R32" s="99"/>
      <c r="S32" s="36"/>
      <c r="T32" s="15"/>
      <c r="U32" s="17"/>
      <c r="V32" s="17"/>
      <c r="W32" s="15"/>
      <c r="X32" s="15"/>
      <c r="Y32" s="17"/>
      <c r="Z32" s="200"/>
      <c r="AA32" s="30"/>
      <c r="AB32" s="6"/>
      <c r="AC32" s="6"/>
      <c r="AD32" s="6"/>
      <c r="AE32" s="7"/>
      <c r="AF32" s="7"/>
      <c r="AG32" s="7"/>
    </row>
    <row r="33" spans="1:33" s="8" customFormat="1" ht="13.5" hidden="1" thickBot="1">
      <c r="A33" s="12" t="s">
        <v>85</v>
      </c>
      <c r="B33" s="18"/>
      <c r="C33" s="144"/>
      <c r="D33" s="18"/>
      <c r="E33" s="18"/>
      <c r="F33" s="18"/>
      <c r="G33" s="18"/>
      <c r="H33" s="19"/>
      <c r="I33" s="18"/>
      <c r="J33" s="18"/>
      <c r="K33" s="18"/>
      <c r="L33" s="18"/>
      <c r="M33" s="18"/>
      <c r="N33" s="18"/>
      <c r="O33" s="18"/>
      <c r="P33" s="18"/>
      <c r="Q33" s="105"/>
      <c r="R33" s="105"/>
      <c r="S33" s="37"/>
      <c r="T33" s="18"/>
      <c r="U33" s="19"/>
      <c r="V33" s="19"/>
      <c r="W33" s="18"/>
      <c r="X33" s="18"/>
      <c r="Y33" s="19"/>
      <c r="Z33" s="201"/>
      <c r="AA33" s="29"/>
      <c r="AB33" s="6"/>
      <c r="AC33" s="6"/>
      <c r="AD33" s="6"/>
      <c r="AE33" s="7"/>
      <c r="AF33" s="7"/>
      <c r="AG33" s="7"/>
    </row>
    <row r="34" spans="1:33" s="8" customFormat="1" ht="64.5" hidden="1" thickBot="1">
      <c r="A34" s="14" t="s">
        <v>27</v>
      </c>
      <c r="B34" s="14" t="s">
        <v>18</v>
      </c>
      <c r="C34" s="142">
        <f>444+90</f>
        <v>534</v>
      </c>
      <c r="D34" s="14" t="s">
        <v>11</v>
      </c>
      <c r="E34" s="14"/>
      <c r="F34" s="14"/>
      <c r="G34" s="14" t="s">
        <v>17</v>
      </c>
      <c r="H34" s="16" t="s">
        <v>61</v>
      </c>
      <c r="I34" s="14"/>
      <c r="J34" s="14"/>
      <c r="K34" s="14"/>
      <c r="L34" s="14"/>
      <c r="M34" s="14"/>
      <c r="N34" s="14"/>
      <c r="O34" s="14"/>
      <c r="P34" s="16" t="s">
        <v>68</v>
      </c>
      <c r="Q34" s="103"/>
      <c r="R34" s="103"/>
      <c r="S34" s="38"/>
      <c r="T34" s="14"/>
      <c r="U34" s="16"/>
      <c r="V34" s="16"/>
      <c r="W34" s="14"/>
      <c r="X34" s="14"/>
      <c r="Y34" s="16"/>
      <c r="Z34" s="197"/>
      <c r="AA34" s="30"/>
      <c r="AB34" s="6"/>
      <c r="AC34" s="6"/>
      <c r="AD34" s="6"/>
      <c r="AE34" s="7"/>
      <c r="AF34" s="7"/>
      <c r="AG34" s="7"/>
    </row>
    <row r="35" spans="1:33" s="8" customFormat="1" ht="64.5" hidden="1" thickBot="1">
      <c r="A35" s="15" t="s">
        <v>27</v>
      </c>
      <c r="B35" s="15" t="s">
        <v>38</v>
      </c>
      <c r="C35" s="143">
        <f>383</f>
        <v>383</v>
      </c>
      <c r="D35" s="15" t="s">
        <v>11</v>
      </c>
      <c r="E35" s="15"/>
      <c r="F35" s="15"/>
      <c r="G35" s="15" t="s">
        <v>28</v>
      </c>
      <c r="H35" s="17" t="s">
        <v>61</v>
      </c>
      <c r="I35" s="15"/>
      <c r="J35" s="15"/>
      <c r="K35" s="15"/>
      <c r="L35" s="15"/>
      <c r="M35" s="15"/>
      <c r="N35" s="15"/>
      <c r="O35" s="15"/>
      <c r="P35" s="17" t="s">
        <v>68</v>
      </c>
      <c r="Q35" s="104"/>
      <c r="R35" s="104"/>
      <c r="S35" s="39"/>
      <c r="T35" s="15"/>
      <c r="U35" s="17"/>
      <c r="V35" s="17"/>
      <c r="W35" s="15"/>
      <c r="X35" s="15"/>
      <c r="Y35" s="17"/>
      <c r="Z35" s="200"/>
      <c r="AA35" s="30"/>
      <c r="AB35" s="6"/>
      <c r="AC35" s="6"/>
      <c r="AD35" s="6"/>
      <c r="AE35" s="7"/>
      <c r="AF35" s="7"/>
      <c r="AG35" s="7"/>
    </row>
    <row r="36" spans="1:33" s="8" customFormat="1" ht="39" hidden="1" thickBot="1">
      <c r="A36" s="15" t="s">
        <v>27</v>
      </c>
      <c r="B36" s="15" t="s">
        <v>18</v>
      </c>
      <c r="C36" s="143">
        <f>444</f>
        <v>444</v>
      </c>
      <c r="D36" s="15" t="s">
        <v>11</v>
      </c>
      <c r="E36" s="15"/>
      <c r="F36" s="15"/>
      <c r="G36" s="15" t="s">
        <v>19</v>
      </c>
      <c r="H36" s="17" t="s">
        <v>61</v>
      </c>
      <c r="I36" s="15"/>
      <c r="J36" s="15"/>
      <c r="K36" s="15"/>
      <c r="L36" s="15"/>
      <c r="M36" s="15"/>
      <c r="N36" s="15"/>
      <c r="O36" s="15"/>
      <c r="P36" s="15"/>
      <c r="Q36" s="99"/>
      <c r="R36" s="99"/>
      <c r="S36" s="36"/>
      <c r="T36" s="15"/>
      <c r="U36" s="17"/>
      <c r="V36" s="17"/>
      <c r="W36" s="15"/>
      <c r="X36" s="15"/>
      <c r="Y36" s="17"/>
      <c r="Z36" s="200"/>
      <c r="AA36" s="30"/>
      <c r="AB36" s="6"/>
      <c r="AC36" s="6"/>
      <c r="AD36" s="6"/>
      <c r="AE36" s="7"/>
      <c r="AF36" s="7"/>
      <c r="AG36" s="7"/>
    </row>
    <row r="37" spans="1:33" s="8" customFormat="1" ht="64.5" hidden="1" thickBot="1">
      <c r="A37" s="15" t="s">
        <v>27</v>
      </c>
      <c r="B37" s="15" t="s">
        <v>18</v>
      </c>
      <c r="C37" s="143">
        <f>228</f>
        <v>228</v>
      </c>
      <c r="D37" s="15" t="s">
        <v>11</v>
      </c>
      <c r="E37" s="15"/>
      <c r="F37" s="15"/>
      <c r="G37" s="15" t="s">
        <v>20</v>
      </c>
      <c r="H37" s="17" t="s">
        <v>61</v>
      </c>
      <c r="I37" s="15"/>
      <c r="J37" s="15"/>
      <c r="K37" s="15"/>
      <c r="L37" s="15"/>
      <c r="M37" s="15"/>
      <c r="N37" s="15"/>
      <c r="O37" s="15"/>
      <c r="P37" s="17" t="s">
        <v>69</v>
      </c>
      <c r="Q37" s="104"/>
      <c r="R37" s="104"/>
      <c r="S37" s="39"/>
      <c r="T37" s="15"/>
      <c r="U37" s="17"/>
      <c r="V37" s="17"/>
      <c r="W37" s="15"/>
      <c r="X37" s="15"/>
      <c r="Y37" s="17"/>
      <c r="Z37" s="200"/>
      <c r="AA37" s="30"/>
      <c r="AB37" s="6"/>
      <c r="AC37" s="6"/>
      <c r="AD37" s="6"/>
      <c r="AE37" s="7"/>
      <c r="AF37" s="7"/>
      <c r="AG37" s="7"/>
    </row>
    <row r="38" spans="1:33" s="8" customFormat="1" ht="39" hidden="1" thickBot="1">
      <c r="A38" s="15" t="s">
        <v>27</v>
      </c>
      <c r="B38" s="15" t="s">
        <v>18</v>
      </c>
      <c r="C38" s="143">
        <f>228</f>
        <v>228</v>
      </c>
      <c r="D38" s="15" t="s">
        <v>11</v>
      </c>
      <c r="E38" s="15"/>
      <c r="F38" s="15"/>
      <c r="G38" s="15" t="s">
        <v>21</v>
      </c>
      <c r="H38" s="17" t="s">
        <v>61</v>
      </c>
      <c r="I38" s="15"/>
      <c r="J38" s="15"/>
      <c r="K38" s="15"/>
      <c r="L38" s="15"/>
      <c r="M38" s="15"/>
      <c r="N38" s="15"/>
      <c r="O38" s="15"/>
      <c r="P38" s="15"/>
      <c r="Q38" s="99"/>
      <c r="R38" s="99"/>
      <c r="S38" s="36"/>
      <c r="T38" s="15"/>
      <c r="U38" s="17"/>
      <c r="V38" s="17"/>
      <c r="W38" s="15"/>
      <c r="X38" s="15"/>
      <c r="Y38" s="17"/>
      <c r="Z38" s="200"/>
      <c r="AA38" s="30"/>
      <c r="AB38" s="6"/>
      <c r="AC38" s="6"/>
      <c r="AD38" s="6"/>
      <c r="AE38" s="7"/>
      <c r="AF38" s="7"/>
      <c r="AG38" s="7"/>
    </row>
    <row r="39" spans="1:33" s="8" customFormat="1" ht="64.5" hidden="1" thickBot="1">
      <c r="A39" s="15" t="s">
        <v>27</v>
      </c>
      <c r="B39" s="15" t="s">
        <v>40</v>
      </c>
      <c r="C39" s="143">
        <f>636+301</f>
        <v>937</v>
      </c>
      <c r="D39" s="15" t="s">
        <v>11</v>
      </c>
      <c r="E39" s="15"/>
      <c r="F39" s="15"/>
      <c r="G39" s="15" t="s">
        <v>29</v>
      </c>
      <c r="H39" s="17" t="s">
        <v>61</v>
      </c>
      <c r="I39" s="15"/>
      <c r="J39" s="15"/>
      <c r="K39" s="15"/>
      <c r="L39" s="15"/>
      <c r="M39" s="15"/>
      <c r="N39" s="15"/>
      <c r="O39" s="15"/>
      <c r="P39" s="17" t="s">
        <v>70</v>
      </c>
      <c r="Q39" s="104"/>
      <c r="R39" s="104"/>
      <c r="S39" s="39"/>
      <c r="T39" s="15"/>
      <c r="U39" s="17"/>
      <c r="V39" s="17"/>
      <c r="W39" s="15"/>
      <c r="X39" s="15"/>
      <c r="Y39" s="17"/>
      <c r="Z39" s="200"/>
      <c r="AA39" s="30"/>
      <c r="AB39" s="6"/>
      <c r="AC39" s="6"/>
      <c r="AD39" s="6"/>
      <c r="AE39" s="7"/>
      <c r="AF39" s="7"/>
      <c r="AG39" s="7"/>
    </row>
    <row r="40" spans="1:33" s="8" customFormat="1" ht="64.5" hidden="1" thickBot="1">
      <c r="A40" s="15" t="s">
        <v>16</v>
      </c>
      <c r="B40" s="15" t="s">
        <v>18</v>
      </c>
      <c r="C40" s="143">
        <f>397</f>
        <v>397</v>
      </c>
      <c r="D40" s="15" t="s">
        <v>11</v>
      </c>
      <c r="E40" s="15"/>
      <c r="F40" s="15"/>
      <c r="G40" s="15" t="s">
        <v>1</v>
      </c>
      <c r="H40" s="17" t="s">
        <v>61</v>
      </c>
      <c r="I40" s="15"/>
      <c r="J40" s="15"/>
      <c r="K40" s="15"/>
      <c r="L40" s="15"/>
      <c r="M40" s="15"/>
      <c r="N40" s="15"/>
      <c r="O40" s="15"/>
      <c r="P40" s="17" t="s">
        <v>71</v>
      </c>
      <c r="Q40" s="104"/>
      <c r="R40" s="104"/>
      <c r="S40" s="39"/>
      <c r="T40" s="15"/>
      <c r="U40" s="17"/>
      <c r="V40" s="17"/>
      <c r="W40" s="15"/>
      <c r="X40" s="15"/>
      <c r="Y40" s="17"/>
      <c r="Z40" s="200"/>
      <c r="AA40" s="30"/>
      <c r="AB40" s="6"/>
      <c r="AC40" s="6"/>
      <c r="AD40" s="6"/>
      <c r="AE40" s="7"/>
      <c r="AF40" s="7"/>
      <c r="AG40" s="7"/>
    </row>
    <row r="41" spans="1:33" s="8" customFormat="1" ht="26.25" hidden="1" thickBot="1">
      <c r="A41" s="15" t="s">
        <v>22</v>
      </c>
      <c r="B41" s="15" t="s">
        <v>39</v>
      </c>
      <c r="C41" s="143">
        <f>1*2.1</f>
        <v>2.1</v>
      </c>
      <c r="D41" s="15" t="s">
        <v>11</v>
      </c>
      <c r="E41" s="20"/>
      <c r="F41" s="20"/>
      <c r="G41" s="20" t="s">
        <v>23</v>
      </c>
      <c r="H41" s="21" t="s">
        <v>61</v>
      </c>
      <c r="I41" s="20"/>
      <c r="J41" s="20"/>
      <c r="K41" s="20"/>
      <c r="L41" s="20"/>
      <c r="M41" s="20"/>
      <c r="N41" s="20"/>
      <c r="O41" s="20"/>
      <c r="P41" s="20"/>
      <c r="Q41" s="106"/>
      <c r="R41" s="106"/>
      <c r="S41" s="40"/>
      <c r="T41" s="20"/>
      <c r="U41" s="21"/>
      <c r="V41" s="21"/>
      <c r="W41" s="20"/>
      <c r="X41" s="20"/>
      <c r="Y41" s="21"/>
      <c r="Z41" s="179"/>
      <c r="AA41" s="30"/>
      <c r="AB41" s="6"/>
      <c r="AC41" s="6"/>
      <c r="AD41" s="6"/>
      <c r="AE41" s="7"/>
      <c r="AF41" s="7"/>
      <c r="AG41" s="7"/>
    </row>
    <row r="42" spans="1:33" s="8" customFormat="1" ht="39" hidden="1" thickBot="1">
      <c r="A42" s="15" t="s">
        <v>22</v>
      </c>
      <c r="B42" s="15" t="s">
        <v>48</v>
      </c>
      <c r="C42" s="143">
        <f>(2*2.1)+10.5</f>
        <v>14.7</v>
      </c>
      <c r="D42" s="15" t="s">
        <v>11</v>
      </c>
      <c r="E42" s="20"/>
      <c r="F42" s="20"/>
      <c r="G42" s="20" t="s">
        <v>24</v>
      </c>
      <c r="H42" s="21" t="s">
        <v>61</v>
      </c>
      <c r="I42" s="20"/>
      <c r="J42" s="20"/>
      <c r="K42" s="20"/>
      <c r="L42" s="20"/>
      <c r="M42" s="20"/>
      <c r="N42" s="20"/>
      <c r="O42" s="20"/>
      <c r="P42" s="20"/>
      <c r="Q42" s="106"/>
      <c r="R42" s="106"/>
      <c r="S42" s="40"/>
      <c r="T42" s="20"/>
      <c r="U42" s="21"/>
      <c r="V42" s="21"/>
      <c r="W42" s="20"/>
      <c r="X42" s="20"/>
      <c r="Y42" s="21"/>
      <c r="Z42" s="179"/>
      <c r="AA42" s="30"/>
      <c r="AB42" s="6"/>
      <c r="AC42" s="6"/>
      <c r="AD42" s="6"/>
      <c r="AE42" s="7"/>
      <c r="AF42" s="7"/>
      <c r="AG42" s="7"/>
    </row>
    <row r="43" spans="1:33" s="8" customFormat="1" ht="26.25" hidden="1" thickBot="1">
      <c r="A43" s="15" t="s">
        <v>22</v>
      </c>
      <c r="B43" s="15" t="s">
        <v>39</v>
      </c>
      <c r="C43" s="143">
        <f>(4*1*2)+(1*3.5*3)+(2.5*3.5*3)</f>
        <v>44.75</v>
      </c>
      <c r="D43" s="15" t="s">
        <v>11</v>
      </c>
      <c r="E43" s="20"/>
      <c r="F43" s="20"/>
      <c r="G43" s="20" t="s">
        <v>25</v>
      </c>
      <c r="H43" s="21" t="s">
        <v>61</v>
      </c>
      <c r="I43" s="20"/>
      <c r="J43" s="20"/>
      <c r="K43" s="20"/>
      <c r="L43" s="20"/>
      <c r="M43" s="20"/>
      <c r="N43" s="20"/>
      <c r="O43" s="20"/>
      <c r="P43" s="20"/>
      <c r="Q43" s="106"/>
      <c r="R43" s="106"/>
      <c r="S43" s="40"/>
      <c r="T43" s="20"/>
      <c r="U43" s="21"/>
      <c r="V43" s="21"/>
      <c r="W43" s="20"/>
      <c r="X43" s="20"/>
      <c r="Y43" s="21"/>
      <c r="Z43" s="179"/>
      <c r="AA43" s="30"/>
      <c r="AB43" s="6"/>
      <c r="AC43" s="6"/>
      <c r="AD43" s="6"/>
      <c r="AE43" s="7"/>
      <c r="AF43" s="7"/>
      <c r="AG43" s="7"/>
    </row>
    <row r="44" spans="1:33" s="8" customFormat="1" ht="26.25" hidden="1" thickBot="1">
      <c r="A44" s="13" t="s">
        <v>22</v>
      </c>
      <c r="B44" s="13" t="s">
        <v>39</v>
      </c>
      <c r="C44" s="145">
        <f>6.5*6.5</f>
        <v>42.25</v>
      </c>
      <c r="D44" s="13" t="s">
        <v>11</v>
      </c>
      <c r="E44" s="32"/>
      <c r="F44" s="32"/>
      <c r="G44" s="32" t="s">
        <v>26</v>
      </c>
      <c r="H44" s="33" t="s">
        <v>61</v>
      </c>
      <c r="I44" s="32"/>
      <c r="J44" s="32"/>
      <c r="K44" s="32"/>
      <c r="L44" s="32"/>
      <c r="M44" s="32"/>
      <c r="N44" s="32"/>
      <c r="O44" s="32"/>
      <c r="P44" s="32"/>
      <c r="Q44" s="107"/>
      <c r="R44" s="107"/>
      <c r="S44" s="41"/>
      <c r="T44" s="32"/>
      <c r="U44" s="33"/>
      <c r="V44" s="33"/>
      <c r="W44" s="32"/>
      <c r="X44" s="32"/>
      <c r="Y44" s="33"/>
      <c r="Z44" s="202"/>
      <c r="AA44" s="31"/>
      <c r="AB44" s="6"/>
      <c r="AC44" s="6"/>
      <c r="AD44" s="6"/>
      <c r="AE44" s="7"/>
      <c r="AF44" s="7"/>
      <c r="AG44" s="7"/>
    </row>
    <row r="45" spans="1:27" ht="13.5" hidden="1" thickBot="1">
      <c r="A45" s="43" t="s">
        <v>199</v>
      </c>
      <c r="B45" s="44"/>
      <c r="C45" s="146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108"/>
      <c r="R45" s="108"/>
      <c r="S45" s="45"/>
      <c r="T45" s="44"/>
      <c r="U45" s="44"/>
      <c r="V45" s="44"/>
      <c r="W45" s="44"/>
      <c r="X45" s="44"/>
      <c r="Y45" s="44"/>
      <c r="Z45" s="195"/>
      <c r="AA45" s="46"/>
    </row>
    <row r="46" spans="1:27" ht="38.25">
      <c r="A46" s="309" t="s">
        <v>94</v>
      </c>
      <c r="B46" s="307" t="s">
        <v>242</v>
      </c>
      <c r="C46" s="305">
        <v>1519</v>
      </c>
      <c r="D46" s="324" t="s">
        <v>237</v>
      </c>
      <c r="E46" s="324" t="s">
        <v>75</v>
      </c>
      <c r="F46" s="324" t="s">
        <v>82</v>
      </c>
      <c r="G46" s="15" t="s">
        <v>96</v>
      </c>
      <c r="H46" s="15" t="s">
        <v>52</v>
      </c>
      <c r="I46" s="288" t="s">
        <v>354</v>
      </c>
      <c r="J46" s="288"/>
      <c r="K46" s="288"/>
      <c r="L46" s="288"/>
      <c r="M46" s="288" t="s">
        <v>149</v>
      </c>
      <c r="N46" s="288" t="s">
        <v>149</v>
      </c>
      <c r="O46" s="288" t="s">
        <v>311</v>
      </c>
      <c r="P46" s="288" t="s">
        <v>149</v>
      </c>
      <c r="Q46" s="289">
        <f>R46*2300</f>
        <v>223.1</v>
      </c>
      <c r="R46" s="99">
        <v>0.097</v>
      </c>
      <c r="S46" s="36">
        <f>Q46*C46</f>
        <v>338888.89999999997</v>
      </c>
      <c r="T46" s="136">
        <v>0</v>
      </c>
      <c r="U46" s="15" t="s">
        <v>64</v>
      </c>
      <c r="V46" s="288"/>
      <c r="W46" s="15" t="s">
        <v>318</v>
      </c>
      <c r="X46" s="15"/>
      <c r="Y46" s="15"/>
      <c r="Z46" s="200"/>
      <c r="AA46" s="290" t="s">
        <v>168</v>
      </c>
    </row>
    <row r="47" spans="1:27" ht="38.25">
      <c r="A47" s="318"/>
      <c r="B47" s="320"/>
      <c r="C47" s="322"/>
      <c r="D47" s="325"/>
      <c r="E47" s="325"/>
      <c r="F47" s="325"/>
      <c r="G47" s="20" t="s">
        <v>339</v>
      </c>
      <c r="H47" s="20" t="s">
        <v>52</v>
      </c>
      <c r="I47" s="166" t="s">
        <v>354</v>
      </c>
      <c r="J47" s="166"/>
      <c r="K47" s="166"/>
      <c r="L47" s="166"/>
      <c r="M47" s="166"/>
      <c r="N47" s="166"/>
      <c r="O47" s="166" t="s">
        <v>311</v>
      </c>
      <c r="P47" s="166" t="s">
        <v>149</v>
      </c>
      <c r="Q47" s="177">
        <f>R47*2300</f>
        <v>172.5</v>
      </c>
      <c r="R47" s="106">
        <v>0.075</v>
      </c>
      <c r="S47" s="40">
        <f>Q47*C46</f>
        <v>262027.5</v>
      </c>
      <c r="T47" s="165">
        <v>0.25</v>
      </c>
      <c r="U47" s="20" t="s">
        <v>64</v>
      </c>
      <c r="V47" s="166"/>
      <c r="W47" s="20" t="s">
        <v>318</v>
      </c>
      <c r="X47" s="20"/>
      <c r="Y47" s="20"/>
      <c r="Z47" s="179"/>
      <c r="AA47" s="178" t="s">
        <v>168</v>
      </c>
    </row>
    <row r="48" spans="1:27" ht="38.25">
      <c r="A48" s="319"/>
      <c r="B48" s="321"/>
      <c r="C48" s="323"/>
      <c r="D48" s="326"/>
      <c r="E48" s="326"/>
      <c r="F48" s="326"/>
      <c r="G48" s="20" t="s">
        <v>169</v>
      </c>
      <c r="H48" s="20" t="s">
        <v>52</v>
      </c>
      <c r="I48" s="166" t="s">
        <v>354</v>
      </c>
      <c r="J48" s="166"/>
      <c r="K48" s="166"/>
      <c r="L48" s="166"/>
      <c r="M48" s="166" t="s">
        <v>149</v>
      </c>
      <c r="N48" s="166" t="s">
        <v>149</v>
      </c>
      <c r="O48" s="166" t="s">
        <v>311</v>
      </c>
      <c r="P48" s="166" t="s">
        <v>149</v>
      </c>
      <c r="Q48" s="177">
        <f>R48*2300</f>
        <v>243.79999999999998</v>
      </c>
      <c r="R48" s="106">
        <v>0.106</v>
      </c>
      <c r="S48" s="40">
        <f>Q48*C46</f>
        <v>370332.19999999995</v>
      </c>
      <c r="T48" s="165">
        <v>0</v>
      </c>
      <c r="U48" s="20" t="s">
        <v>64</v>
      </c>
      <c r="V48" s="20"/>
      <c r="W48" s="20" t="s">
        <v>318</v>
      </c>
      <c r="X48" s="20"/>
      <c r="Y48" s="20"/>
      <c r="Z48" s="179"/>
      <c r="AA48" s="178" t="s">
        <v>168</v>
      </c>
    </row>
    <row r="49" spans="1:27" ht="51">
      <c r="A49" s="319"/>
      <c r="B49" s="321"/>
      <c r="C49" s="323"/>
      <c r="D49" s="326"/>
      <c r="E49" s="326"/>
      <c r="F49" s="326"/>
      <c r="G49" s="20" t="s">
        <v>170</v>
      </c>
      <c r="H49" s="20" t="s">
        <v>52</v>
      </c>
      <c r="I49" s="166" t="s">
        <v>354</v>
      </c>
      <c r="J49" s="166"/>
      <c r="K49" s="166"/>
      <c r="L49" s="166"/>
      <c r="M49" s="166" t="s">
        <v>149</v>
      </c>
      <c r="N49" s="166" t="s">
        <v>149</v>
      </c>
      <c r="O49" s="166" t="s">
        <v>311</v>
      </c>
      <c r="P49" s="166" t="s">
        <v>149</v>
      </c>
      <c r="Q49" s="177">
        <f>R49*2300</f>
        <v>188.6</v>
      </c>
      <c r="R49" s="106">
        <v>0.082</v>
      </c>
      <c r="S49" s="40">
        <f>Q49*C46</f>
        <v>286483.39999999997</v>
      </c>
      <c r="T49" s="165">
        <v>0.25</v>
      </c>
      <c r="U49" s="20" t="s">
        <v>64</v>
      </c>
      <c r="V49" s="20"/>
      <c r="W49" s="20" t="s">
        <v>319</v>
      </c>
      <c r="X49" s="20"/>
      <c r="Y49" s="20"/>
      <c r="Z49" s="179"/>
      <c r="AA49" s="178" t="s">
        <v>168</v>
      </c>
    </row>
    <row r="50" spans="1:27" ht="64.5" thickBot="1">
      <c r="A50" s="310"/>
      <c r="B50" s="308"/>
      <c r="C50" s="306"/>
      <c r="D50" s="327"/>
      <c r="E50" s="327"/>
      <c r="F50" s="327"/>
      <c r="G50" s="157" t="s">
        <v>95</v>
      </c>
      <c r="H50" s="157" t="s">
        <v>52</v>
      </c>
      <c r="I50" s="181" t="s">
        <v>354</v>
      </c>
      <c r="J50" s="181"/>
      <c r="K50" s="181"/>
      <c r="L50" s="181"/>
      <c r="M50" s="181" t="s">
        <v>149</v>
      </c>
      <c r="N50" s="181" t="s">
        <v>149</v>
      </c>
      <c r="O50" s="181" t="s">
        <v>310</v>
      </c>
      <c r="P50" s="181" t="s">
        <v>149</v>
      </c>
      <c r="Q50" s="182">
        <f>R50*2300</f>
        <v>264.5</v>
      </c>
      <c r="R50" s="158">
        <v>0.115</v>
      </c>
      <c r="S50" s="159">
        <f>Q50*C46</f>
        <v>401775.5</v>
      </c>
      <c r="T50" s="176">
        <v>0</v>
      </c>
      <c r="U50" s="157" t="s">
        <v>64</v>
      </c>
      <c r="V50" s="157"/>
      <c r="W50" s="157" t="s">
        <v>318</v>
      </c>
      <c r="X50" s="157"/>
      <c r="Y50" s="157"/>
      <c r="Z50" s="180" t="s">
        <v>297</v>
      </c>
      <c r="AA50" s="183" t="s">
        <v>168</v>
      </c>
    </row>
    <row r="51" spans="1:27" ht="13.5" thickBot="1">
      <c r="A51" s="47" t="s">
        <v>200</v>
      </c>
      <c r="B51" s="48"/>
      <c r="C51" s="140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97"/>
      <c r="R51" s="97"/>
      <c r="S51" s="55"/>
      <c r="T51" s="48"/>
      <c r="U51" s="48"/>
      <c r="V51" s="48"/>
      <c r="W51" s="48"/>
      <c r="X51" s="48"/>
      <c r="Y51" s="48"/>
      <c r="Z51" s="196"/>
      <c r="AA51" s="56"/>
    </row>
    <row r="52" spans="1:33" s="5" customFormat="1" ht="89.25">
      <c r="A52" s="309" t="s">
        <v>86</v>
      </c>
      <c r="B52" s="324" t="s">
        <v>127</v>
      </c>
      <c r="C52" s="328">
        <v>94</v>
      </c>
      <c r="D52" s="324" t="s">
        <v>101</v>
      </c>
      <c r="E52" s="324" t="s">
        <v>75</v>
      </c>
      <c r="F52" s="324" t="s">
        <v>82</v>
      </c>
      <c r="G52" s="76" t="s">
        <v>367</v>
      </c>
      <c r="H52" s="76" t="s">
        <v>171</v>
      </c>
      <c r="I52" s="76" t="s">
        <v>354</v>
      </c>
      <c r="J52" s="76"/>
      <c r="K52" s="76"/>
      <c r="L52" s="76"/>
      <c r="M52" s="76" t="s">
        <v>132</v>
      </c>
      <c r="N52" s="76" t="s">
        <v>139</v>
      </c>
      <c r="O52" s="76"/>
      <c r="P52" s="77" t="s">
        <v>149</v>
      </c>
      <c r="Q52" s="113"/>
      <c r="R52" s="109">
        <v>-1.408</v>
      </c>
      <c r="S52" s="78">
        <f>Q52*C52</f>
        <v>0</v>
      </c>
      <c r="T52" s="85">
        <v>0</v>
      </c>
      <c r="U52" s="76" t="s">
        <v>137</v>
      </c>
      <c r="V52" s="76"/>
      <c r="W52" s="76" t="s">
        <v>320</v>
      </c>
      <c r="X52" s="76"/>
      <c r="Y52" s="76"/>
      <c r="Z52" s="84" t="s">
        <v>368</v>
      </c>
      <c r="AA52" s="79" t="s">
        <v>194</v>
      </c>
      <c r="AB52" s="3"/>
      <c r="AC52" s="3"/>
      <c r="AD52" s="3"/>
      <c r="AE52" s="4"/>
      <c r="AF52" s="4"/>
      <c r="AG52" s="4"/>
    </row>
    <row r="53" spans="1:33" s="5" customFormat="1" ht="51">
      <c r="A53" s="319"/>
      <c r="B53" s="326"/>
      <c r="C53" s="329"/>
      <c r="D53" s="326"/>
      <c r="E53" s="326"/>
      <c r="F53" s="326"/>
      <c r="G53" s="20" t="s">
        <v>126</v>
      </c>
      <c r="H53" s="20" t="s">
        <v>171</v>
      </c>
      <c r="I53" s="20" t="s">
        <v>354</v>
      </c>
      <c r="J53" s="20"/>
      <c r="K53" s="20"/>
      <c r="L53" s="20"/>
      <c r="M53" s="20" t="s">
        <v>132</v>
      </c>
      <c r="N53" s="20" t="s">
        <v>139</v>
      </c>
      <c r="O53" s="20"/>
      <c r="P53" s="166" t="s">
        <v>149</v>
      </c>
      <c r="Q53" s="177"/>
      <c r="R53" s="106">
        <v>-1.408</v>
      </c>
      <c r="S53" s="40">
        <f>Q53*C53</f>
        <v>0</v>
      </c>
      <c r="T53" s="165">
        <v>0</v>
      </c>
      <c r="U53" s="20" t="s">
        <v>137</v>
      </c>
      <c r="V53" s="20"/>
      <c r="W53" s="20" t="s">
        <v>317</v>
      </c>
      <c r="X53" s="20"/>
      <c r="Y53" s="20"/>
      <c r="Z53" s="179"/>
      <c r="AA53" s="178" t="s">
        <v>194</v>
      </c>
      <c r="AB53" s="3"/>
      <c r="AC53" s="3"/>
      <c r="AD53" s="3"/>
      <c r="AE53" s="4"/>
      <c r="AF53" s="4"/>
      <c r="AG53" s="4"/>
    </row>
    <row r="54" spans="1:27" ht="76.5">
      <c r="A54" s="319"/>
      <c r="B54" s="326"/>
      <c r="C54" s="329"/>
      <c r="D54" s="326"/>
      <c r="E54" s="326"/>
      <c r="F54" s="326"/>
      <c r="G54" s="20" t="s">
        <v>134</v>
      </c>
      <c r="H54" s="20" t="s">
        <v>193</v>
      </c>
      <c r="I54" s="166" t="s">
        <v>354</v>
      </c>
      <c r="J54" s="166"/>
      <c r="K54" s="166"/>
      <c r="L54" s="166"/>
      <c r="M54" s="166" t="s">
        <v>149</v>
      </c>
      <c r="N54" s="166" t="s">
        <v>149</v>
      </c>
      <c r="O54" s="166"/>
      <c r="P54" s="166" t="s">
        <v>149</v>
      </c>
      <c r="Q54" s="177"/>
      <c r="R54" s="106" t="s">
        <v>196</v>
      </c>
      <c r="S54" s="40">
        <f>Q54*C54</f>
        <v>0</v>
      </c>
      <c r="T54" s="20" t="s">
        <v>340</v>
      </c>
      <c r="U54" s="20" t="s">
        <v>137</v>
      </c>
      <c r="V54" s="20"/>
      <c r="W54" s="20" t="s">
        <v>358</v>
      </c>
      <c r="X54" s="20"/>
      <c r="Y54" s="20"/>
      <c r="Z54" s="179"/>
      <c r="AA54" s="178" t="s">
        <v>168</v>
      </c>
    </row>
    <row r="55" spans="1:27" ht="51.75" thickBot="1">
      <c r="A55" s="310"/>
      <c r="B55" s="327"/>
      <c r="C55" s="330"/>
      <c r="D55" s="327"/>
      <c r="E55" s="327"/>
      <c r="F55" s="327"/>
      <c r="G55" s="157" t="s">
        <v>87</v>
      </c>
      <c r="H55" s="157" t="s">
        <v>174</v>
      </c>
      <c r="I55" s="181" t="s">
        <v>354</v>
      </c>
      <c r="J55" s="181"/>
      <c r="K55" s="181"/>
      <c r="L55" s="181"/>
      <c r="M55" s="181" t="s">
        <v>149</v>
      </c>
      <c r="N55" s="181" t="s">
        <v>149</v>
      </c>
      <c r="O55" s="181"/>
      <c r="P55" s="181" t="s">
        <v>149</v>
      </c>
      <c r="Q55" s="182"/>
      <c r="R55" s="158">
        <v>1.46</v>
      </c>
      <c r="S55" s="159">
        <f>Q55*C55</f>
        <v>0</v>
      </c>
      <c r="T55" s="176">
        <v>0.59</v>
      </c>
      <c r="U55" s="157" t="s">
        <v>137</v>
      </c>
      <c r="V55" s="157"/>
      <c r="W55" s="157" t="s">
        <v>355</v>
      </c>
      <c r="X55" s="157"/>
      <c r="Y55" s="157"/>
      <c r="Z55" s="180"/>
      <c r="AA55" s="183" t="s">
        <v>168</v>
      </c>
    </row>
    <row r="56" spans="1:33" s="1" customFormat="1" ht="39" thickBot="1">
      <c r="A56" s="309" t="s">
        <v>109</v>
      </c>
      <c r="B56" s="324" t="s">
        <v>88</v>
      </c>
      <c r="C56" s="328">
        <v>4024</v>
      </c>
      <c r="D56" s="324" t="s">
        <v>11</v>
      </c>
      <c r="E56" s="324" t="s">
        <v>75</v>
      </c>
      <c r="F56" s="324" t="s">
        <v>82</v>
      </c>
      <c r="G56" s="160" t="s">
        <v>97</v>
      </c>
      <c r="H56" s="160" t="s">
        <v>140</v>
      </c>
      <c r="I56" s="160" t="s">
        <v>128</v>
      </c>
      <c r="J56" s="20" t="s">
        <v>342</v>
      </c>
      <c r="K56" s="20" t="s">
        <v>139</v>
      </c>
      <c r="L56" s="160" t="s">
        <v>277</v>
      </c>
      <c r="M56" s="160" t="s">
        <v>203</v>
      </c>
      <c r="N56" s="160" t="s">
        <v>204</v>
      </c>
      <c r="O56" s="160" t="s">
        <v>307</v>
      </c>
      <c r="P56" s="185" t="s">
        <v>149</v>
      </c>
      <c r="Q56" s="186">
        <f>R56*6.4*10.79</f>
        <v>11.04896</v>
      </c>
      <c r="R56" s="161">
        <v>0.16</v>
      </c>
      <c r="S56" s="162">
        <f>Q56*C56</f>
        <v>44461.01504</v>
      </c>
      <c r="T56" s="189">
        <v>0.8</v>
      </c>
      <c r="U56" s="160" t="s">
        <v>208</v>
      </c>
      <c r="V56" s="160" t="s">
        <v>341</v>
      </c>
      <c r="W56" s="160"/>
      <c r="X56" s="160"/>
      <c r="Y56" s="160"/>
      <c r="Z56" s="184"/>
      <c r="AA56" s="188" t="s">
        <v>168</v>
      </c>
      <c r="AE56" s="2"/>
      <c r="AF56" s="2"/>
      <c r="AG56" s="2"/>
    </row>
    <row r="57" spans="1:33" s="1" customFormat="1" ht="76.5">
      <c r="A57" s="319"/>
      <c r="B57" s="326"/>
      <c r="C57" s="329"/>
      <c r="D57" s="326"/>
      <c r="E57" s="326"/>
      <c r="F57" s="326"/>
      <c r="G57" s="22" t="s">
        <v>98</v>
      </c>
      <c r="H57" s="22" t="s">
        <v>141</v>
      </c>
      <c r="I57" s="22" t="s">
        <v>354</v>
      </c>
      <c r="J57" s="22"/>
      <c r="K57" s="22"/>
      <c r="L57" s="76" t="s">
        <v>277</v>
      </c>
      <c r="M57" s="22" t="s">
        <v>203</v>
      </c>
      <c r="N57" s="22" t="s">
        <v>204</v>
      </c>
      <c r="O57" s="22" t="s">
        <v>308</v>
      </c>
      <c r="P57" s="23" t="s">
        <v>149</v>
      </c>
      <c r="Q57" s="110">
        <f>R57*18.8*10.79</f>
        <v>13.591083999999999</v>
      </c>
      <c r="R57" s="111">
        <v>0.067</v>
      </c>
      <c r="S57" s="42">
        <f>Q57*C56</f>
        <v>54690.522015999995</v>
      </c>
      <c r="T57" s="22" t="s">
        <v>75</v>
      </c>
      <c r="U57" s="22" t="s">
        <v>208</v>
      </c>
      <c r="V57" s="22"/>
      <c r="W57" s="22" t="s">
        <v>360</v>
      </c>
      <c r="X57" s="22"/>
      <c r="Y57" s="22"/>
      <c r="Z57" s="24" t="s">
        <v>309</v>
      </c>
      <c r="AA57" s="80" t="s">
        <v>259</v>
      </c>
      <c r="AE57" s="2"/>
      <c r="AF57" s="2"/>
      <c r="AG57" s="2"/>
    </row>
    <row r="58" spans="1:33" s="1" customFormat="1" ht="77.25" thickBot="1">
      <c r="A58" s="331"/>
      <c r="B58" s="332"/>
      <c r="C58" s="333"/>
      <c r="D58" s="332"/>
      <c r="E58" s="332"/>
      <c r="F58" s="332"/>
      <c r="G58" s="32" t="s">
        <v>99</v>
      </c>
      <c r="H58" s="32" t="s">
        <v>142</v>
      </c>
      <c r="I58" s="32" t="s">
        <v>128</v>
      </c>
      <c r="J58" s="32"/>
      <c r="K58" s="32"/>
      <c r="L58" s="32"/>
      <c r="M58" s="32"/>
      <c r="N58" s="32"/>
      <c r="O58" s="32"/>
      <c r="P58" s="32"/>
      <c r="Q58" s="107"/>
      <c r="R58" s="107">
        <v>2.55</v>
      </c>
      <c r="S58" s="41">
        <f>Q58*C56</f>
        <v>0</v>
      </c>
      <c r="T58" s="246">
        <v>0</v>
      </c>
      <c r="U58" s="32" t="s">
        <v>143</v>
      </c>
      <c r="V58" s="32"/>
      <c r="W58" s="32" t="s">
        <v>359</v>
      </c>
      <c r="X58" s="32"/>
      <c r="Y58" s="32"/>
      <c r="Z58" s="202"/>
      <c r="AA58" s="248" t="s">
        <v>168</v>
      </c>
      <c r="AE58" s="2"/>
      <c r="AF58" s="2"/>
      <c r="AG58" s="2"/>
    </row>
    <row r="59" spans="1:33" s="1" customFormat="1" ht="102">
      <c r="A59" s="299" t="s">
        <v>109</v>
      </c>
      <c r="B59" s="314" t="s">
        <v>387</v>
      </c>
      <c r="C59" s="337">
        <v>4024</v>
      </c>
      <c r="D59" s="314" t="s">
        <v>11</v>
      </c>
      <c r="E59" s="314" t="s">
        <v>75</v>
      </c>
      <c r="F59" s="314" t="s">
        <v>82</v>
      </c>
      <c r="G59" s="160" t="s">
        <v>396</v>
      </c>
      <c r="H59" s="160" t="s">
        <v>394</v>
      </c>
      <c r="I59" s="160" t="s">
        <v>389</v>
      </c>
      <c r="J59" s="160"/>
      <c r="K59" s="160"/>
      <c r="L59" s="160"/>
      <c r="M59" s="160"/>
      <c r="N59" s="160"/>
      <c r="O59" s="160"/>
      <c r="P59" s="160"/>
      <c r="Q59" s="161">
        <f>(R59*30)/1000*110</f>
        <v>9.9</v>
      </c>
      <c r="R59" s="161">
        <v>3</v>
      </c>
      <c r="S59" s="162">
        <f>Q59*C59</f>
        <v>39837.6</v>
      </c>
      <c r="T59" s="189">
        <v>0</v>
      </c>
      <c r="U59" s="160" t="s">
        <v>210</v>
      </c>
      <c r="V59" s="160" t="s">
        <v>402</v>
      </c>
      <c r="W59" s="160"/>
      <c r="X59" s="160"/>
      <c r="Y59" s="160"/>
      <c r="Z59" s="184"/>
      <c r="AA59" s="188" t="s">
        <v>403</v>
      </c>
      <c r="AE59" s="2"/>
      <c r="AF59" s="2"/>
      <c r="AG59" s="2"/>
    </row>
    <row r="60" spans="1:33" s="1" customFormat="1" ht="76.5">
      <c r="A60" s="311"/>
      <c r="B60" s="316"/>
      <c r="C60" s="338"/>
      <c r="D60" s="316"/>
      <c r="E60" s="316"/>
      <c r="F60" s="316"/>
      <c r="G60" s="169" t="s">
        <v>399</v>
      </c>
      <c r="H60" s="32" t="s">
        <v>395</v>
      </c>
      <c r="I60" s="169" t="s">
        <v>392</v>
      </c>
      <c r="J60" s="169"/>
      <c r="K60" s="169"/>
      <c r="L60" s="169"/>
      <c r="M60" s="169"/>
      <c r="N60" s="169"/>
      <c r="O60" s="169"/>
      <c r="P60" s="169"/>
      <c r="Q60" s="170">
        <f>(R60*35)/1000*90</f>
        <v>9.45</v>
      </c>
      <c r="R60" s="170">
        <v>3</v>
      </c>
      <c r="S60" s="171">
        <f>Q60*C59</f>
        <v>38026.799999999996</v>
      </c>
      <c r="T60" s="172"/>
      <c r="U60" s="169" t="s">
        <v>143</v>
      </c>
      <c r="V60" s="169" t="s">
        <v>148</v>
      </c>
      <c r="W60" s="169"/>
      <c r="X60" s="169"/>
      <c r="Y60" s="169"/>
      <c r="Z60" s="194"/>
      <c r="AA60" s="248" t="s">
        <v>393</v>
      </c>
      <c r="AE60" s="2"/>
      <c r="AF60" s="2"/>
      <c r="AG60" s="2"/>
    </row>
    <row r="61" spans="1:33" s="1" customFormat="1" ht="38.25">
      <c r="A61" s="311"/>
      <c r="B61" s="316"/>
      <c r="C61" s="338"/>
      <c r="D61" s="316"/>
      <c r="E61" s="316"/>
      <c r="F61" s="317"/>
      <c r="G61" s="15" t="s">
        <v>397</v>
      </c>
      <c r="H61" s="15" t="s">
        <v>391</v>
      </c>
      <c r="I61" s="15" t="s">
        <v>390</v>
      </c>
      <c r="J61" s="15"/>
      <c r="K61" s="15"/>
      <c r="L61" s="15"/>
      <c r="M61" s="15"/>
      <c r="N61" s="15"/>
      <c r="O61" s="15"/>
      <c r="P61" s="15"/>
      <c r="Q61" s="99">
        <f>(R61*20)/1000*160</f>
        <v>8.16</v>
      </c>
      <c r="R61" s="99">
        <v>2.55</v>
      </c>
      <c r="S61" s="36">
        <f>Q61*C59</f>
        <v>32835.840000000004</v>
      </c>
      <c r="T61" s="136"/>
      <c r="U61" s="15" t="s">
        <v>143</v>
      </c>
      <c r="V61" s="15" t="s">
        <v>148</v>
      </c>
      <c r="W61" s="15"/>
      <c r="X61" s="15"/>
      <c r="Y61" s="15"/>
      <c r="Z61" s="200"/>
      <c r="AA61" s="15" t="s">
        <v>168</v>
      </c>
      <c r="AE61" s="2"/>
      <c r="AF61" s="2"/>
      <c r="AG61" s="2"/>
    </row>
    <row r="62" spans="1:33" s="1" customFormat="1" ht="39" thickBot="1">
      <c r="A62" s="300"/>
      <c r="B62" s="315"/>
      <c r="C62" s="339"/>
      <c r="D62" s="315"/>
      <c r="E62" s="315"/>
      <c r="F62" s="315"/>
      <c r="G62" s="116" t="s">
        <v>398</v>
      </c>
      <c r="H62" s="116" t="s">
        <v>391</v>
      </c>
      <c r="I62" s="116" t="s">
        <v>390</v>
      </c>
      <c r="J62" s="116"/>
      <c r="K62" s="116"/>
      <c r="L62" s="116"/>
      <c r="M62" s="116"/>
      <c r="N62" s="116"/>
      <c r="O62" s="116"/>
      <c r="P62" s="116"/>
      <c r="Q62" s="128">
        <f>(R62*18.5)/1000*160</f>
        <v>7.547999999999999</v>
      </c>
      <c r="R62" s="128">
        <v>2.55</v>
      </c>
      <c r="S62" s="129">
        <f>Q62*C59</f>
        <v>30373.152</v>
      </c>
      <c r="T62" s="150"/>
      <c r="U62" s="116" t="s">
        <v>143</v>
      </c>
      <c r="V62" s="116" t="s">
        <v>148</v>
      </c>
      <c r="W62" s="116"/>
      <c r="X62" s="116"/>
      <c r="Y62" s="116"/>
      <c r="Z62" s="192"/>
      <c r="AA62" s="250" t="s">
        <v>168</v>
      </c>
      <c r="AE62" s="2"/>
      <c r="AF62" s="2"/>
      <c r="AG62" s="2"/>
    </row>
    <row r="63" spans="1:33" s="1" customFormat="1" ht="38.25" customHeight="1">
      <c r="A63" s="299" t="s">
        <v>109</v>
      </c>
      <c r="B63" s="314" t="s">
        <v>388</v>
      </c>
      <c r="C63" s="337">
        <v>4230</v>
      </c>
      <c r="D63" s="314" t="s">
        <v>11</v>
      </c>
      <c r="E63" s="314" t="s">
        <v>75</v>
      </c>
      <c r="F63" s="314" t="s">
        <v>82</v>
      </c>
      <c r="G63" s="60" t="s">
        <v>400</v>
      </c>
      <c r="H63" s="60"/>
      <c r="I63" s="60"/>
      <c r="J63" s="60"/>
      <c r="K63" s="60"/>
      <c r="L63" s="60"/>
      <c r="M63" s="60"/>
      <c r="N63" s="60"/>
      <c r="O63" s="60"/>
      <c r="P63" s="60"/>
      <c r="Q63" s="98"/>
      <c r="R63" s="98"/>
      <c r="S63" s="61"/>
      <c r="T63" s="62"/>
      <c r="U63" s="60"/>
      <c r="V63" s="60"/>
      <c r="W63" s="60"/>
      <c r="X63" s="60"/>
      <c r="Y63" s="60"/>
      <c r="Z63" s="190"/>
      <c r="AA63" s="249"/>
      <c r="AE63" s="2"/>
      <c r="AF63" s="2"/>
      <c r="AG63" s="2"/>
    </row>
    <row r="64" spans="1:33" s="1" customFormat="1" ht="13.5" thickBot="1">
      <c r="A64" s="300"/>
      <c r="B64" s="315"/>
      <c r="C64" s="339"/>
      <c r="D64" s="315"/>
      <c r="E64" s="315"/>
      <c r="F64" s="315"/>
      <c r="G64" s="220" t="s">
        <v>171</v>
      </c>
      <c r="H64" s="220"/>
      <c r="I64" s="220"/>
      <c r="J64" s="220"/>
      <c r="K64" s="220"/>
      <c r="L64" s="220"/>
      <c r="M64" s="220"/>
      <c r="N64" s="220"/>
      <c r="O64" s="220"/>
      <c r="P64" s="220"/>
      <c r="Q64" s="223"/>
      <c r="R64" s="223"/>
      <c r="S64" s="233"/>
      <c r="T64" s="234"/>
      <c r="U64" s="220"/>
      <c r="V64" s="220"/>
      <c r="W64" s="220"/>
      <c r="X64" s="220"/>
      <c r="Y64" s="220"/>
      <c r="Z64" s="224"/>
      <c r="AA64" s="247"/>
      <c r="AE64" s="2"/>
      <c r="AF64" s="2"/>
      <c r="AG64" s="2"/>
    </row>
    <row r="65" spans="1:33" s="1" customFormat="1" ht="39" thickBot="1">
      <c r="A65" s="222" t="s">
        <v>109</v>
      </c>
      <c r="B65" s="76" t="s">
        <v>89</v>
      </c>
      <c r="C65" s="254">
        <v>165</v>
      </c>
      <c r="D65" s="76" t="s">
        <v>11</v>
      </c>
      <c r="E65" s="76" t="s">
        <v>75</v>
      </c>
      <c r="F65" s="76" t="s">
        <v>82</v>
      </c>
      <c r="G65" s="76" t="s">
        <v>313</v>
      </c>
      <c r="H65" s="76" t="s">
        <v>52</v>
      </c>
      <c r="I65" s="77" t="s">
        <v>354</v>
      </c>
      <c r="J65" s="77"/>
      <c r="K65" s="77"/>
      <c r="L65" s="77"/>
      <c r="M65" s="77" t="s">
        <v>149</v>
      </c>
      <c r="N65" s="77" t="s">
        <v>149</v>
      </c>
      <c r="O65" s="77" t="s">
        <v>311</v>
      </c>
      <c r="P65" s="77" t="s">
        <v>149</v>
      </c>
      <c r="Q65" s="113">
        <f>(R65*2300)/100*15</f>
        <v>39.675</v>
      </c>
      <c r="R65" s="109">
        <v>0.115</v>
      </c>
      <c r="S65" s="78">
        <f>Q65*C65</f>
        <v>6546.374999999999</v>
      </c>
      <c r="T65" s="136">
        <v>0</v>
      </c>
      <c r="U65" s="76" t="s">
        <v>64</v>
      </c>
      <c r="V65" s="76"/>
      <c r="W65" s="76" t="s">
        <v>318</v>
      </c>
      <c r="X65" s="76"/>
      <c r="Y65" s="76"/>
      <c r="Z65" s="84"/>
      <c r="AA65" s="79" t="s">
        <v>195</v>
      </c>
      <c r="AE65" s="2"/>
      <c r="AF65" s="2"/>
      <c r="AG65" s="2"/>
    </row>
    <row r="66" spans="1:33" s="1" customFormat="1" ht="38.25">
      <c r="A66" s="309" t="s">
        <v>110</v>
      </c>
      <c r="B66" s="324" t="s">
        <v>91</v>
      </c>
      <c r="C66" s="305">
        <v>1035</v>
      </c>
      <c r="D66" s="324" t="s">
        <v>11</v>
      </c>
      <c r="E66" s="324" t="s">
        <v>75</v>
      </c>
      <c r="F66" s="324" t="s">
        <v>82</v>
      </c>
      <c r="G66" s="160" t="s">
        <v>343</v>
      </c>
      <c r="H66" s="160" t="s">
        <v>52</v>
      </c>
      <c r="I66" s="185" t="s">
        <v>354</v>
      </c>
      <c r="J66" s="185"/>
      <c r="K66" s="185"/>
      <c r="L66" s="185"/>
      <c r="M66" s="185" t="s">
        <v>149</v>
      </c>
      <c r="N66" s="185" t="s">
        <v>149</v>
      </c>
      <c r="O66" s="185" t="s">
        <v>310</v>
      </c>
      <c r="P66" s="185" t="s">
        <v>149</v>
      </c>
      <c r="Q66" s="186">
        <f>R66*2300/5</f>
        <v>77.28</v>
      </c>
      <c r="R66" s="161">
        <v>0.168</v>
      </c>
      <c r="S66" s="162">
        <f>Q66*C66</f>
        <v>79984.8</v>
      </c>
      <c r="T66" s="189">
        <v>0</v>
      </c>
      <c r="U66" s="160" t="s">
        <v>209</v>
      </c>
      <c r="V66" s="160"/>
      <c r="W66" s="160" t="s">
        <v>318</v>
      </c>
      <c r="X66" s="160"/>
      <c r="Y66" s="160"/>
      <c r="Z66" s="184"/>
      <c r="AA66" s="188" t="s">
        <v>197</v>
      </c>
      <c r="AE66" s="2"/>
      <c r="AF66" s="2"/>
      <c r="AG66" s="2"/>
    </row>
    <row r="67" spans="1:33" s="1" customFormat="1" ht="51.75" thickBot="1">
      <c r="A67" s="310"/>
      <c r="B67" s="327"/>
      <c r="C67" s="306"/>
      <c r="D67" s="327"/>
      <c r="E67" s="327"/>
      <c r="F67" s="327"/>
      <c r="G67" s="81" t="s">
        <v>92</v>
      </c>
      <c r="H67" s="81" t="s">
        <v>171</v>
      </c>
      <c r="I67" s="81" t="s">
        <v>354</v>
      </c>
      <c r="J67" s="81"/>
      <c r="K67" s="81"/>
      <c r="L67" s="81"/>
      <c r="M67" s="81" t="s">
        <v>132</v>
      </c>
      <c r="N67" s="81" t="s">
        <v>139</v>
      </c>
      <c r="O67" s="81"/>
      <c r="P67" s="81"/>
      <c r="Q67" s="112"/>
      <c r="R67" s="112">
        <v>-1.408</v>
      </c>
      <c r="S67" s="82">
        <f>Q67*C67</f>
        <v>0</v>
      </c>
      <c r="T67" s="83">
        <v>0</v>
      </c>
      <c r="U67" s="81" t="s">
        <v>211</v>
      </c>
      <c r="V67" s="81"/>
      <c r="W67" s="81" t="s">
        <v>317</v>
      </c>
      <c r="X67" s="81"/>
      <c r="Y67" s="81"/>
      <c r="Z67" s="121" t="s">
        <v>369</v>
      </c>
      <c r="AA67" s="126" t="s">
        <v>194</v>
      </c>
      <c r="AE67" s="2"/>
      <c r="AF67" s="2"/>
      <c r="AG67" s="2"/>
    </row>
    <row r="68" spans="1:33" s="1" customFormat="1" ht="51.75" thickBot="1">
      <c r="A68" s="222" t="s">
        <v>110</v>
      </c>
      <c r="B68" s="76" t="s">
        <v>93</v>
      </c>
      <c r="C68" s="254">
        <v>3345</v>
      </c>
      <c r="D68" s="76" t="s">
        <v>11</v>
      </c>
      <c r="E68" s="76" t="s">
        <v>75</v>
      </c>
      <c r="F68" s="76" t="s">
        <v>82</v>
      </c>
      <c r="G68" s="76" t="s">
        <v>92</v>
      </c>
      <c r="H68" s="76" t="s">
        <v>171</v>
      </c>
      <c r="I68" s="76" t="s">
        <v>354</v>
      </c>
      <c r="J68" s="81"/>
      <c r="K68" s="81"/>
      <c r="L68" s="76"/>
      <c r="M68" s="76" t="s">
        <v>132</v>
      </c>
      <c r="N68" s="76" t="s">
        <v>139</v>
      </c>
      <c r="O68" s="76"/>
      <c r="P68" s="76"/>
      <c r="Q68" s="109"/>
      <c r="R68" s="109">
        <v>-1.408</v>
      </c>
      <c r="S68" s="78">
        <f>Q68*C68</f>
        <v>0</v>
      </c>
      <c r="T68" s="85">
        <v>0</v>
      </c>
      <c r="U68" s="76" t="s">
        <v>143</v>
      </c>
      <c r="V68" s="76"/>
      <c r="W68" s="76" t="s">
        <v>317</v>
      </c>
      <c r="X68" s="76"/>
      <c r="Y68" s="76"/>
      <c r="Z68" s="84" t="s">
        <v>369</v>
      </c>
      <c r="AA68" s="79" t="s">
        <v>194</v>
      </c>
      <c r="AE68" s="2"/>
      <c r="AF68" s="2"/>
      <c r="AG68" s="2"/>
    </row>
    <row r="69" spans="1:33" s="1" customFormat="1" ht="38.25">
      <c r="A69" s="299" t="s">
        <v>100</v>
      </c>
      <c r="B69" s="314" t="s">
        <v>129</v>
      </c>
      <c r="C69" s="303">
        <v>4689</v>
      </c>
      <c r="D69" s="314" t="s">
        <v>11</v>
      </c>
      <c r="E69" s="314" t="s">
        <v>75</v>
      </c>
      <c r="F69" s="314" t="s">
        <v>75</v>
      </c>
      <c r="G69" s="160" t="s">
        <v>216</v>
      </c>
      <c r="H69" s="160" t="s">
        <v>155</v>
      </c>
      <c r="I69" s="160" t="s">
        <v>280</v>
      </c>
      <c r="J69" s="160" t="s">
        <v>281</v>
      </c>
      <c r="K69" s="160" t="s">
        <v>282</v>
      </c>
      <c r="L69" s="160"/>
      <c r="M69" s="160" t="s">
        <v>203</v>
      </c>
      <c r="N69" s="160" t="s">
        <v>204</v>
      </c>
      <c r="O69" s="160" t="s">
        <v>347</v>
      </c>
      <c r="P69" s="160" t="s">
        <v>217</v>
      </c>
      <c r="Q69" s="161">
        <f>R69*17</f>
        <v>15.3</v>
      </c>
      <c r="R69" s="161">
        <v>0.9</v>
      </c>
      <c r="S69" s="162">
        <f>Q69*C69</f>
        <v>71741.7</v>
      </c>
      <c r="T69" s="189" t="s">
        <v>218</v>
      </c>
      <c r="U69" s="160" t="s">
        <v>210</v>
      </c>
      <c r="V69" s="160"/>
      <c r="W69" s="160"/>
      <c r="X69" s="160"/>
      <c r="Y69" s="160"/>
      <c r="Z69" s="184"/>
      <c r="AA69" s="188" t="s">
        <v>219</v>
      </c>
      <c r="AE69" s="2"/>
      <c r="AF69" s="2"/>
      <c r="AG69" s="2"/>
    </row>
    <row r="70" spans="1:33" s="1" customFormat="1" ht="51">
      <c r="A70" s="311"/>
      <c r="B70" s="316"/>
      <c r="C70" s="313"/>
      <c r="D70" s="316"/>
      <c r="E70" s="316"/>
      <c r="F70" s="316"/>
      <c r="G70" s="22" t="s">
        <v>243</v>
      </c>
      <c r="H70" s="22" t="s">
        <v>244</v>
      </c>
      <c r="I70" s="22" t="s">
        <v>245</v>
      </c>
      <c r="J70" s="22" t="s">
        <v>278</v>
      </c>
      <c r="K70" s="22" t="s">
        <v>279</v>
      </c>
      <c r="L70" s="22"/>
      <c r="M70" s="22"/>
      <c r="N70" s="22"/>
      <c r="O70" s="22" t="s">
        <v>346</v>
      </c>
      <c r="P70" s="111"/>
      <c r="Q70" s="111">
        <f>R70*20.9</f>
        <v>13.04200980392157</v>
      </c>
      <c r="R70" s="111">
        <f>12.73/20.4</f>
        <v>0.6240196078431374</v>
      </c>
      <c r="S70" s="42">
        <f>Q70*C68</f>
        <v>43625.52279411765</v>
      </c>
      <c r="T70" s="215">
        <v>0</v>
      </c>
      <c r="U70" s="22" t="s">
        <v>143</v>
      </c>
      <c r="V70" s="22" t="s">
        <v>246</v>
      </c>
      <c r="W70" s="22"/>
      <c r="X70" s="22"/>
      <c r="Y70" s="22"/>
      <c r="Z70" s="24" t="s">
        <v>301</v>
      </c>
      <c r="AA70" s="80" t="s">
        <v>267</v>
      </c>
      <c r="AE70" s="2"/>
      <c r="AF70" s="2"/>
      <c r="AG70" s="2"/>
    </row>
    <row r="71" spans="1:33" s="1" customFormat="1" ht="51.75" thickBot="1">
      <c r="A71" s="300"/>
      <c r="B71" s="315"/>
      <c r="C71" s="304"/>
      <c r="D71" s="315"/>
      <c r="E71" s="315"/>
      <c r="F71" s="315"/>
      <c r="G71" s="281" t="s">
        <v>420</v>
      </c>
      <c r="H71" s="281" t="s">
        <v>418</v>
      </c>
      <c r="I71" s="281" t="s">
        <v>419</v>
      </c>
      <c r="J71" s="281" t="s">
        <v>421</v>
      </c>
      <c r="K71" s="281" t="s">
        <v>422</v>
      </c>
      <c r="L71" s="281"/>
      <c r="M71" s="281"/>
      <c r="N71" s="281"/>
      <c r="O71" s="281"/>
      <c r="P71" s="282"/>
      <c r="Q71" s="282"/>
      <c r="R71" s="282"/>
      <c r="S71" s="283"/>
      <c r="T71" s="284">
        <v>0.79</v>
      </c>
      <c r="U71" s="281" t="s">
        <v>354</v>
      </c>
      <c r="V71" s="281" t="s">
        <v>354</v>
      </c>
      <c r="W71" s="281"/>
      <c r="X71" s="281"/>
      <c r="Y71" s="281"/>
      <c r="Z71" s="285"/>
      <c r="AA71" s="286"/>
      <c r="AE71" s="2"/>
      <c r="AF71" s="2"/>
      <c r="AG71" s="2"/>
    </row>
    <row r="72" spans="1:33" s="1" customFormat="1" ht="63.75">
      <c r="A72" s="299" t="s">
        <v>100</v>
      </c>
      <c r="B72" s="314" t="s">
        <v>129</v>
      </c>
      <c r="C72" s="303">
        <v>1434</v>
      </c>
      <c r="D72" s="314" t="s">
        <v>11</v>
      </c>
      <c r="E72" s="314" t="s">
        <v>75</v>
      </c>
      <c r="F72" s="314" t="s">
        <v>75</v>
      </c>
      <c r="G72" s="20" t="s">
        <v>104</v>
      </c>
      <c r="H72" s="20" t="s">
        <v>156</v>
      </c>
      <c r="I72" s="20" t="s">
        <v>190</v>
      </c>
      <c r="J72" s="153" t="s">
        <v>191</v>
      </c>
      <c r="K72" s="153" t="s">
        <v>192</v>
      </c>
      <c r="L72" s="20"/>
      <c r="M72" s="20" t="s">
        <v>191</v>
      </c>
      <c r="N72" s="20" t="s">
        <v>192</v>
      </c>
      <c r="O72" s="153" t="s">
        <v>344</v>
      </c>
      <c r="P72" s="153"/>
      <c r="Q72" s="154">
        <f>R72*90</f>
        <v>12.600000000000001</v>
      </c>
      <c r="R72" s="154">
        <v>0.14</v>
      </c>
      <c r="S72" s="40">
        <f>Q72*C72</f>
        <v>18068.4</v>
      </c>
      <c r="T72" s="165">
        <v>0</v>
      </c>
      <c r="U72" s="20" t="s">
        <v>137</v>
      </c>
      <c r="V72" s="20" t="s">
        <v>148</v>
      </c>
      <c r="W72" s="20"/>
      <c r="X72" s="20"/>
      <c r="Y72" s="20"/>
      <c r="Z72" s="191" t="s">
        <v>434</v>
      </c>
      <c r="AA72" s="178" t="s">
        <v>265</v>
      </c>
      <c r="AE72" s="2"/>
      <c r="AF72" s="2"/>
      <c r="AG72" s="2"/>
    </row>
    <row r="73" spans="1:33" s="1" customFormat="1" ht="38.25">
      <c r="A73" s="311"/>
      <c r="B73" s="316"/>
      <c r="C73" s="313"/>
      <c r="D73" s="316"/>
      <c r="E73" s="316"/>
      <c r="F73" s="316"/>
      <c r="G73" s="153" t="s">
        <v>423</v>
      </c>
      <c r="H73" s="20" t="s">
        <v>156</v>
      </c>
      <c r="I73" s="153" t="s">
        <v>49</v>
      </c>
      <c r="J73" s="153" t="s">
        <v>432</v>
      </c>
      <c r="K73" s="153" t="s">
        <v>433</v>
      </c>
      <c r="L73" s="153"/>
      <c r="M73" s="153"/>
      <c r="N73" s="153"/>
      <c r="O73" s="153" t="s">
        <v>425</v>
      </c>
      <c r="P73" s="153"/>
      <c r="Q73" s="154"/>
      <c r="R73" s="154"/>
      <c r="S73" s="155"/>
      <c r="T73" s="156">
        <v>0.5</v>
      </c>
      <c r="U73" s="20" t="s">
        <v>137</v>
      </c>
      <c r="V73" s="20" t="s">
        <v>246</v>
      </c>
      <c r="W73" s="153"/>
      <c r="X73" s="153"/>
      <c r="Y73" s="153"/>
      <c r="Z73" s="191"/>
      <c r="AA73" s="287"/>
      <c r="AE73" s="2"/>
      <c r="AF73" s="2"/>
      <c r="AG73" s="2"/>
    </row>
    <row r="74" spans="1:33" s="1" customFormat="1" ht="90" thickBot="1">
      <c r="A74" s="300"/>
      <c r="B74" s="315"/>
      <c r="C74" s="304"/>
      <c r="D74" s="315"/>
      <c r="E74" s="315"/>
      <c r="F74" s="315"/>
      <c r="G74" s="117" t="s">
        <v>426</v>
      </c>
      <c r="H74" s="22" t="s">
        <v>157</v>
      </c>
      <c r="I74" s="117" t="s">
        <v>427</v>
      </c>
      <c r="J74" s="34" t="s">
        <v>429</v>
      </c>
      <c r="K74" s="34" t="s">
        <v>430</v>
      </c>
      <c r="L74" s="117"/>
      <c r="M74" s="117"/>
      <c r="N74" s="117"/>
      <c r="O74" s="34" t="s">
        <v>428</v>
      </c>
      <c r="P74" s="117"/>
      <c r="Q74" s="122">
        <f>R74*85</f>
        <v>9.883799999999999</v>
      </c>
      <c r="R74" s="122">
        <v>0.11628</v>
      </c>
      <c r="S74" s="123">
        <f>Q74*C72</f>
        <v>14173.3692</v>
      </c>
      <c r="T74" s="272">
        <v>0</v>
      </c>
      <c r="U74" s="22" t="s">
        <v>137</v>
      </c>
      <c r="V74" s="22" t="s">
        <v>341</v>
      </c>
      <c r="W74" s="34"/>
      <c r="X74" s="117"/>
      <c r="Y74" s="117"/>
      <c r="Z74" s="273"/>
      <c r="AA74" s="126" t="s">
        <v>431</v>
      </c>
      <c r="AE74" s="2"/>
      <c r="AF74" s="2"/>
      <c r="AG74" s="2"/>
    </row>
    <row r="75" spans="1:33" s="1" customFormat="1" ht="39" thickBot="1">
      <c r="A75" s="205" t="s">
        <v>100</v>
      </c>
      <c r="B75" s="204" t="s">
        <v>129</v>
      </c>
      <c r="C75" s="252">
        <v>0</v>
      </c>
      <c r="D75" s="204" t="s">
        <v>11</v>
      </c>
      <c r="E75" s="204" t="s">
        <v>75</v>
      </c>
      <c r="F75" s="204" t="s">
        <v>75</v>
      </c>
      <c r="G75" s="76" t="s">
        <v>106</v>
      </c>
      <c r="H75" s="76" t="s">
        <v>157</v>
      </c>
      <c r="I75" s="76" t="s">
        <v>354</v>
      </c>
      <c r="J75" s="76"/>
      <c r="K75" s="76"/>
      <c r="L75" s="76"/>
      <c r="M75" s="76"/>
      <c r="N75" s="76"/>
      <c r="O75" s="76"/>
      <c r="P75" s="76"/>
      <c r="Q75" s="109"/>
      <c r="R75" s="109"/>
      <c r="S75" s="78"/>
      <c r="T75" s="76"/>
      <c r="U75" s="76" t="s">
        <v>137</v>
      </c>
      <c r="V75" s="76"/>
      <c r="W75" s="86" t="s">
        <v>353</v>
      </c>
      <c r="X75" s="76"/>
      <c r="Y75" s="76"/>
      <c r="Z75" s="84"/>
      <c r="AA75" s="79"/>
      <c r="AE75" s="2"/>
      <c r="AF75" s="2"/>
      <c r="AG75" s="2"/>
    </row>
    <row r="76" spans="1:33" s="1" customFormat="1" ht="39" thickBot="1">
      <c r="A76" s="69" t="s">
        <v>100</v>
      </c>
      <c r="B76" s="86" t="s">
        <v>102</v>
      </c>
      <c r="C76" s="139">
        <v>613</v>
      </c>
      <c r="D76" s="86" t="s">
        <v>11</v>
      </c>
      <c r="E76" s="86" t="s">
        <v>75</v>
      </c>
      <c r="F76" s="86" t="s">
        <v>75</v>
      </c>
      <c r="G76" s="86" t="s">
        <v>105</v>
      </c>
      <c r="H76" s="86" t="s">
        <v>105</v>
      </c>
      <c r="I76" s="86" t="s">
        <v>354</v>
      </c>
      <c r="J76" s="86"/>
      <c r="K76" s="86"/>
      <c r="L76" s="86"/>
      <c r="M76" s="86"/>
      <c r="N76" s="86"/>
      <c r="O76" s="86"/>
      <c r="P76" s="86"/>
      <c r="Q76" s="114"/>
      <c r="R76" s="114"/>
      <c r="S76" s="88"/>
      <c r="T76" s="86"/>
      <c r="U76" s="86" t="s">
        <v>143</v>
      </c>
      <c r="V76" s="86"/>
      <c r="W76" s="86" t="s">
        <v>353</v>
      </c>
      <c r="X76" s="86"/>
      <c r="Y76" s="86"/>
      <c r="Z76" s="87"/>
      <c r="AA76" s="89"/>
      <c r="AE76" s="2"/>
      <c r="AF76" s="2"/>
      <c r="AG76" s="2"/>
    </row>
    <row r="77" spans="1:33" s="1" customFormat="1" ht="51">
      <c r="A77" s="309" t="s">
        <v>100</v>
      </c>
      <c r="B77" s="324" t="s">
        <v>103</v>
      </c>
      <c r="C77" s="305">
        <v>638.4</v>
      </c>
      <c r="D77" s="324" t="s">
        <v>11</v>
      </c>
      <c r="E77" s="314" t="s">
        <v>75</v>
      </c>
      <c r="F77" s="314" t="s">
        <v>75</v>
      </c>
      <c r="G77" s="76" t="s">
        <v>130</v>
      </c>
      <c r="H77" s="76" t="s">
        <v>167</v>
      </c>
      <c r="I77" s="76" t="s">
        <v>354</v>
      </c>
      <c r="J77" s="76"/>
      <c r="K77" s="76"/>
      <c r="L77" s="76"/>
      <c r="M77" s="76"/>
      <c r="N77" s="76"/>
      <c r="O77" s="76"/>
      <c r="P77" s="76" t="s">
        <v>64</v>
      </c>
      <c r="Q77" s="109" t="s">
        <v>64</v>
      </c>
      <c r="R77" s="109" t="s">
        <v>64</v>
      </c>
      <c r="S77" s="76" t="s">
        <v>64</v>
      </c>
      <c r="T77" s="85" t="s">
        <v>223</v>
      </c>
      <c r="U77" s="76" t="s">
        <v>64</v>
      </c>
      <c r="V77" s="76"/>
      <c r="W77" s="76" t="s">
        <v>355</v>
      </c>
      <c r="X77" s="76"/>
      <c r="Y77" s="76"/>
      <c r="Z77" s="84"/>
      <c r="AA77" s="79" t="s">
        <v>227</v>
      </c>
      <c r="AE77" s="2"/>
      <c r="AF77" s="2"/>
      <c r="AG77" s="2"/>
    </row>
    <row r="78" spans="1:33" s="1" customFormat="1" ht="51">
      <c r="A78" s="319"/>
      <c r="B78" s="326"/>
      <c r="C78" s="323"/>
      <c r="D78" s="326"/>
      <c r="E78" s="316"/>
      <c r="F78" s="316"/>
      <c r="G78" s="22" t="s">
        <v>131</v>
      </c>
      <c r="H78" s="22" t="s">
        <v>167</v>
      </c>
      <c r="I78" s="22" t="s">
        <v>354</v>
      </c>
      <c r="J78" s="117"/>
      <c r="K78" s="117"/>
      <c r="L78" s="22"/>
      <c r="M78" s="22"/>
      <c r="N78" s="22"/>
      <c r="O78" s="22"/>
      <c r="P78" s="22" t="s">
        <v>64</v>
      </c>
      <c r="Q78" s="111" t="s">
        <v>64</v>
      </c>
      <c r="R78" s="111" t="s">
        <v>64</v>
      </c>
      <c r="S78" s="22" t="s">
        <v>64</v>
      </c>
      <c r="T78" s="22" t="s">
        <v>221</v>
      </c>
      <c r="U78" s="22" t="s">
        <v>64</v>
      </c>
      <c r="V78" s="22"/>
      <c r="W78" s="22" t="s">
        <v>355</v>
      </c>
      <c r="X78" s="22"/>
      <c r="Y78" s="22"/>
      <c r="Z78" s="24"/>
      <c r="AA78" s="80" t="s">
        <v>227</v>
      </c>
      <c r="AE78" s="2"/>
      <c r="AF78" s="2"/>
      <c r="AG78" s="2"/>
    </row>
    <row r="79" spans="1:33" s="1" customFormat="1" ht="51.75" thickBot="1">
      <c r="A79" s="310"/>
      <c r="B79" s="327"/>
      <c r="C79" s="306"/>
      <c r="D79" s="327"/>
      <c r="E79" s="315"/>
      <c r="F79" s="315"/>
      <c r="G79" s="157" t="s">
        <v>220</v>
      </c>
      <c r="H79" s="157" t="s">
        <v>167</v>
      </c>
      <c r="I79" s="157" t="s">
        <v>354</v>
      </c>
      <c r="J79" s="153"/>
      <c r="K79" s="153"/>
      <c r="L79" s="157"/>
      <c r="M79" s="157"/>
      <c r="N79" s="157"/>
      <c r="O79" s="157"/>
      <c r="P79" s="157" t="s">
        <v>64</v>
      </c>
      <c r="Q79" s="158" t="s">
        <v>64</v>
      </c>
      <c r="R79" s="158" t="s">
        <v>64</v>
      </c>
      <c r="S79" s="157" t="s">
        <v>64</v>
      </c>
      <c r="T79" s="157" t="s">
        <v>222</v>
      </c>
      <c r="U79" s="157" t="s">
        <v>64</v>
      </c>
      <c r="V79" s="157"/>
      <c r="W79" s="157" t="s">
        <v>355</v>
      </c>
      <c r="X79" s="157"/>
      <c r="Y79" s="157"/>
      <c r="Z79" s="180"/>
      <c r="AA79" s="183" t="s">
        <v>227</v>
      </c>
      <c r="AE79" s="2"/>
      <c r="AF79" s="2"/>
      <c r="AG79" s="2"/>
    </row>
    <row r="80" spans="1:33" s="1" customFormat="1" ht="51">
      <c r="A80" s="309" t="s">
        <v>262</v>
      </c>
      <c r="B80" s="324" t="s">
        <v>101</v>
      </c>
      <c r="C80" s="303">
        <v>2277</v>
      </c>
      <c r="D80" s="314" t="s">
        <v>11</v>
      </c>
      <c r="E80" s="324" t="s">
        <v>75</v>
      </c>
      <c r="F80" s="324" t="s">
        <v>75</v>
      </c>
      <c r="G80" s="160" t="s">
        <v>166</v>
      </c>
      <c r="H80" s="160" t="s">
        <v>135</v>
      </c>
      <c r="I80" s="160" t="s">
        <v>128</v>
      </c>
      <c r="J80" s="160" t="s">
        <v>271</v>
      </c>
      <c r="K80" s="160" t="s">
        <v>272</v>
      </c>
      <c r="L80" s="160" t="s">
        <v>270</v>
      </c>
      <c r="M80" s="160" t="s">
        <v>202</v>
      </c>
      <c r="N80" s="160" t="s">
        <v>201</v>
      </c>
      <c r="O80" s="160" t="s">
        <v>306</v>
      </c>
      <c r="P80" s="185" t="s">
        <v>151</v>
      </c>
      <c r="Q80" s="186">
        <f>R80*2.35*60</f>
        <v>28.059000000000005</v>
      </c>
      <c r="R80" s="161">
        <v>0.199</v>
      </c>
      <c r="S80" s="162">
        <f>Q80*C80</f>
        <v>63890.34300000001</v>
      </c>
      <c r="T80" s="187" t="s">
        <v>173</v>
      </c>
      <c r="U80" s="160" t="s">
        <v>137</v>
      </c>
      <c r="V80" s="160" t="s">
        <v>152</v>
      </c>
      <c r="W80" s="160"/>
      <c r="X80" s="160"/>
      <c r="Y80" s="160"/>
      <c r="Z80" s="184"/>
      <c r="AA80" s="188" t="s">
        <v>266</v>
      </c>
      <c r="AE80" s="2"/>
      <c r="AF80" s="2"/>
      <c r="AG80" s="2"/>
    </row>
    <row r="81" spans="1:33" s="1" customFormat="1" ht="147" thickBot="1">
      <c r="A81" s="311"/>
      <c r="B81" s="316"/>
      <c r="C81" s="313"/>
      <c r="D81" s="316"/>
      <c r="E81" s="316"/>
      <c r="F81" s="316"/>
      <c r="G81" s="292" t="s">
        <v>446</v>
      </c>
      <c r="H81" s="292" t="s">
        <v>135</v>
      </c>
      <c r="I81" s="292" t="s">
        <v>441</v>
      </c>
      <c r="J81" s="292" t="s">
        <v>442</v>
      </c>
      <c r="K81" s="292" t="s">
        <v>443</v>
      </c>
      <c r="L81" s="292"/>
      <c r="M81" s="292"/>
      <c r="N81" s="292"/>
      <c r="O81" s="292" t="s">
        <v>305</v>
      </c>
      <c r="P81" s="292" t="s">
        <v>136</v>
      </c>
      <c r="Q81" s="298">
        <f>2.35*R81</f>
        <v>0.5405000000000001</v>
      </c>
      <c r="R81" s="293">
        <v>0.23</v>
      </c>
      <c r="S81" s="294">
        <f>60*2.35*R81*C79</f>
        <v>0</v>
      </c>
      <c r="T81" s="295" t="s">
        <v>444</v>
      </c>
      <c r="U81" s="292" t="s">
        <v>137</v>
      </c>
      <c r="V81" s="292" t="s">
        <v>65</v>
      </c>
      <c r="W81" s="292"/>
      <c r="X81" s="292"/>
      <c r="Y81" s="292"/>
      <c r="Z81" s="296"/>
      <c r="AA81" s="297" t="s">
        <v>445</v>
      </c>
      <c r="AE81" s="2"/>
      <c r="AF81" s="2"/>
      <c r="AG81" s="2"/>
    </row>
    <row r="82" spans="1:33" s="1" customFormat="1" ht="67.5" customHeight="1" thickBot="1">
      <c r="A82" s="310"/>
      <c r="B82" s="327"/>
      <c r="C82" s="304"/>
      <c r="D82" s="315"/>
      <c r="E82" s="327"/>
      <c r="F82" s="327"/>
      <c r="G82" s="292" t="s">
        <v>447</v>
      </c>
      <c r="H82" s="292" t="s">
        <v>135</v>
      </c>
      <c r="I82" s="292" t="s">
        <v>448</v>
      </c>
      <c r="J82" s="292" t="s">
        <v>449</v>
      </c>
      <c r="K82" s="292" t="s">
        <v>450</v>
      </c>
      <c r="L82" s="292"/>
      <c r="M82" s="292"/>
      <c r="N82" s="292"/>
      <c r="O82" s="292" t="s">
        <v>305</v>
      </c>
      <c r="P82" s="292" t="s">
        <v>136</v>
      </c>
      <c r="Q82" s="298">
        <f>2.35*R82</f>
        <v>0.5334500000000001</v>
      </c>
      <c r="R82" s="293">
        <v>0.227</v>
      </c>
      <c r="S82" s="294">
        <f>60*2.35*R82*C80</f>
        <v>72879.939</v>
      </c>
      <c r="T82" s="295" t="s">
        <v>444</v>
      </c>
      <c r="U82" s="292" t="s">
        <v>137</v>
      </c>
      <c r="V82" s="292" t="s">
        <v>65</v>
      </c>
      <c r="W82" s="292"/>
      <c r="X82" s="292"/>
      <c r="Y82" s="292"/>
      <c r="Z82" s="296"/>
      <c r="AA82" s="297" t="s">
        <v>445</v>
      </c>
      <c r="AE82" s="2"/>
      <c r="AF82" s="2"/>
      <c r="AG82" s="2"/>
    </row>
    <row r="83" spans="1:33" s="1" customFormat="1" ht="51.75" thickBot="1">
      <c r="A83" s="221" t="s">
        <v>262</v>
      </c>
      <c r="B83" s="34" t="s">
        <v>101</v>
      </c>
      <c r="C83" s="253">
        <v>1768</v>
      </c>
      <c r="D83" s="34" t="s">
        <v>11</v>
      </c>
      <c r="E83" s="34" t="s">
        <v>75</v>
      </c>
      <c r="F83" s="34" t="s">
        <v>75</v>
      </c>
      <c r="G83" s="90" t="s">
        <v>188</v>
      </c>
      <c r="H83" s="90" t="s">
        <v>189</v>
      </c>
      <c r="I83" s="90" t="s">
        <v>190</v>
      </c>
      <c r="J83" s="90" t="s">
        <v>191</v>
      </c>
      <c r="K83" s="90" t="s">
        <v>192</v>
      </c>
      <c r="L83" s="90"/>
      <c r="M83" s="90"/>
      <c r="N83" s="90"/>
      <c r="O83" s="90" t="s">
        <v>345</v>
      </c>
      <c r="P83" s="119"/>
      <c r="Q83" s="119">
        <f>R83*55.8*3.1</f>
        <v>22.4874</v>
      </c>
      <c r="R83" s="119">
        <v>0.13</v>
      </c>
      <c r="S83" s="120">
        <f>Q83*C83</f>
        <v>39757.7232</v>
      </c>
      <c r="T83" s="127">
        <v>0</v>
      </c>
      <c r="U83" s="22" t="s">
        <v>137</v>
      </c>
      <c r="V83" s="90" t="s">
        <v>228</v>
      </c>
      <c r="W83" s="90"/>
      <c r="X83" s="90"/>
      <c r="Y83" s="90"/>
      <c r="Z83" s="118" t="s">
        <v>300</v>
      </c>
      <c r="AA83" s="80" t="s">
        <v>265</v>
      </c>
      <c r="AE83" s="2"/>
      <c r="AF83" s="2"/>
      <c r="AG83" s="2"/>
    </row>
    <row r="84" spans="1:33" s="1" customFormat="1" ht="89.25">
      <c r="A84" s="299" t="s">
        <v>262</v>
      </c>
      <c r="B84" s="314" t="s">
        <v>101</v>
      </c>
      <c r="C84" s="305">
        <v>6237</v>
      </c>
      <c r="D84" s="324" t="s">
        <v>11</v>
      </c>
      <c r="E84" s="324" t="s">
        <v>75</v>
      </c>
      <c r="F84" s="324" t="s">
        <v>75</v>
      </c>
      <c r="G84" s="76" t="s">
        <v>107</v>
      </c>
      <c r="H84" s="76" t="s">
        <v>212</v>
      </c>
      <c r="I84" s="76" t="s">
        <v>231</v>
      </c>
      <c r="J84" s="76" t="s">
        <v>275</v>
      </c>
      <c r="K84" s="76" t="s">
        <v>276</v>
      </c>
      <c r="L84" s="76"/>
      <c r="M84" s="76"/>
      <c r="N84" s="76"/>
      <c r="O84" s="76"/>
      <c r="P84" s="109" t="s">
        <v>62</v>
      </c>
      <c r="Q84" s="109" t="s">
        <v>62</v>
      </c>
      <c r="R84" s="109" t="s">
        <v>62</v>
      </c>
      <c r="S84" s="109" t="s">
        <v>62</v>
      </c>
      <c r="T84" s="76" t="s">
        <v>229</v>
      </c>
      <c r="U84" s="76" t="s">
        <v>143</v>
      </c>
      <c r="V84" s="76" t="s">
        <v>148</v>
      </c>
      <c r="W84" s="76"/>
      <c r="X84" s="76"/>
      <c r="Y84" s="76"/>
      <c r="Z84" s="84" t="s">
        <v>299</v>
      </c>
      <c r="AA84" s="79" t="s">
        <v>230</v>
      </c>
      <c r="AE84" s="2"/>
      <c r="AF84" s="2"/>
      <c r="AG84" s="2"/>
    </row>
    <row r="85" spans="1:33" s="1" customFormat="1" ht="39" thickBot="1">
      <c r="A85" s="300"/>
      <c r="B85" s="315"/>
      <c r="C85" s="306"/>
      <c r="D85" s="327"/>
      <c r="E85" s="327"/>
      <c r="F85" s="327"/>
      <c r="G85" s="157" t="s">
        <v>153</v>
      </c>
      <c r="H85" s="157" t="s">
        <v>165</v>
      </c>
      <c r="I85" s="157" t="s">
        <v>154</v>
      </c>
      <c r="J85" s="157" t="s">
        <v>273</v>
      </c>
      <c r="K85" s="157" t="s">
        <v>274</v>
      </c>
      <c r="L85" s="157"/>
      <c r="M85" s="157"/>
      <c r="N85" s="157"/>
      <c r="O85" s="157"/>
      <c r="P85" s="157" t="s">
        <v>164</v>
      </c>
      <c r="Q85" s="158">
        <v>5.5</v>
      </c>
      <c r="R85" s="158">
        <f>5.5/25</f>
        <v>0.22</v>
      </c>
      <c r="S85" s="159">
        <f>Q85*C84</f>
        <v>34303.5</v>
      </c>
      <c r="T85" s="176">
        <v>0</v>
      </c>
      <c r="U85" s="157" t="s">
        <v>143</v>
      </c>
      <c r="V85" s="157" t="s">
        <v>148</v>
      </c>
      <c r="W85" s="157"/>
      <c r="X85" s="157"/>
      <c r="Y85" s="157"/>
      <c r="Z85" s="180"/>
      <c r="AA85" s="183" t="s">
        <v>163</v>
      </c>
      <c r="AE85" s="2"/>
      <c r="AF85" s="2"/>
      <c r="AG85" s="2"/>
    </row>
    <row r="86" spans="1:33" s="1" customFormat="1" ht="77.25" thickBot="1">
      <c r="A86" s="69" t="s">
        <v>262</v>
      </c>
      <c r="B86" s="86" t="s">
        <v>101</v>
      </c>
      <c r="C86" s="139">
        <v>1041</v>
      </c>
      <c r="D86" s="86" t="s">
        <v>11</v>
      </c>
      <c r="E86" s="86" t="s">
        <v>75</v>
      </c>
      <c r="F86" s="86" t="s">
        <v>75</v>
      </c>
      <c r="G86" s="86" t="s">
        <v>158</v>
      </c>
      <c r="H86" s="86" t="s">
        <v>144</v>
      </c>
      <c r="I86" s="86" t="s">
        <v>354</v>
      </c>
      <c r="J86" s="86"/>
      <c r="K86" s="86"/>
      <c r="L86" s="86" t="s">
        <v>277</v>
      </c>
      <c r="M86" s="86" t="s">
        <v>203</v>
      </c>
      <c r="N86" s="86" t="s">
        <v>204</v>
      </c>
      <c r="O86" s="86" t="s">
        <v>348</v>
      </c>
      <c r="P86" s="91"/>
      <c r="Q86" s="112">
        <f>R86*450/55.55555</f>
        <v>1.9440001944000196</v>
      </c>
      <c r="R86" s="114">
        <v>0.24</v>
      </c>
      <c r="S86" s="88">
        <f>Q86*C86</f>
        <v>2023.7042023704205</v>
      </c>
      <c r="T86" s="216">
        <v>0</v>
      </c>
      <c r="U86" s="86" t="s">
        <v>137</v>
      </c>
      <c r="V86" s="86"/>
      <c r="W86" s="86" t="s">
        <v>361</v>
      </c>
      <c r="X86" s="86"/>
      <c r="Y86" s="86"/>
      <c r="Z86" s="87"/>
      <c r="AA86" s="89" t="s">
        <v>349</v>
      </c>
      <c r="AE86" s="2"/>
      <c r="AF86" s="2"/>
      <c r="AG86" s="2"/>
    </row>
    <row r="87" spans="1:33" s="1" customFormat="1" ht="25.5">
      <c r="A87" s="309" t="s">
        <v>350</v>
      </c>
      <c r="B87" s="324" t="s">
        <v>101</v>
      </c>
      <c r="C87" s="314">
        <v>929</v>
      </c>
      <c r="D87" s="314" t="s">
        <v>417</v>
      </c>
      <c r="E87" s="324" t="s">
        <v>75</v>
      </c>
      <c r="F87" s="324" t="s">
        <v>75</v>
      </c>
      <c r="G87" s="60" t="s">
        <v>438</v>
      </c>
      <c r="H87" s="60" t="s">
        <v>171</v>
      </c>
      <c r="I87" s="60" t="s">
        <v>435</v>
      </c>
      <c r="J87" s="60" t="s">
        <v>436</v>
      </c>
      <c r="K87" s="60" t="s">
        <v>437</v>
      </c>
      <c r="L87" s="60"/>
      <c r="M87" s="60" t="s">
        <v>150</v>
      </c>
      <c r="N87" s="60" t="s">
        <v>145</v>
      </c>
      <c r="O87" s="60"/>
      <c r="P87" s="60" t="s">
        <v>146</v>
      </c>
      <c r="Q87" s="98" t="s">
        <v>354</v>
      </c>
      <c r="R87" s="98"/>
      <c r="S87" s="61" t="e">
        <f>Q87*C87</f>
        <v>#VALUE!</v>
      </c>
      <c r="T87" s="62">
        <v>0</v>
      </c>
      <c r="U87" s="60" t="s">
        <v>210</v>
      </c>
      <c r="V87" s="60"/>
      <c r="W87" s="60"/>
      <c r="X87" s="60"/>
      <c r="Y87" s="60"/>
      <c r="Z87" s="190"/>
      <c r="AA87" s="249"/>
      <c r="AE87" s="2"/>
      <c r="AF87" s="2"/>
      <c r="AG87" s="2"/>
    </row>
    <row r="88" spans="1:33" s="1" customFormat="1" ht="25.5">
      <c r="A88" s="311"/>
      <c r="B88" s="316"/>
      <c r="C88" s="325"/>
      <c r="D88" s="325"/>
      <c r="E88" s="316"/>
      <c r="F88" s="316"/>
      <c r="G88" s="153" t="s">
        <v>439</v>
      </c>
      <c r="H88" s="153" t="s">
        <v>171</v>
      </c>
      <c r="I88" s="153" t="s">
        <v>435</v>
      </c>
      <c r="J88" s="153" t="s">
        <v>436</v>
      </c>
      <c r="K88" s="153" t="s">
        <v>437</v>
      </c>
      <c r="L88" s="153"/>
      <c r="M88" s="153" t="s">
        <v>150</v>
      </c>
      <c r="N88" s="153" t="s">
        <v>145</v>
      </c>
      <c r="O88" s="153"/>
      <c r="P88" s="153" t="s">
        <v>146</v>
      </c>
      <c r="Q88" s="154" t="s">
        <v>354</v>
      </c>
      <c r="R88" s="154"/>
      <c r="S88" s="171" t="e">
        <f>Q88*C88</f>
        <v>#VALUE!</v>
      </c>
      <c r="T88" s="156">
        <v>0</v>
      </c>
      <c r="U88" s="153" t="s">
        <v>440</v>
      </c>
      <c r="V88" s="153"/>
      <c r="W88" s="169"/>
      <c r="X88" s="169"/>
      <c r="Y88" s="169"/>
      <c r="Z88" s="194"/>
      <c r="AA88" s="291"/>
      <c r="AE88" s="2"/>
      <c r="AF88" s="2"/>
      <c r="AG88" s="2"/>
    </row>
    <row r="89" spans="1:33" s="1" customFormat="1" ht="90" thickBot="1">
      <c r="A89" s="310"/>
      <c r="B89" s="327"/>
      <c r="C89" s="267">
        <v>5285</v>
      </c>
      <c r="D89" s="267" t="s">
        <v>12</v>
      </c>
      <c r="E89" s="327"/>
      <c r="F89" s="327"/>
      <c r="G89" s="157" t="s">
        <v>116</v>
      </c>
      <c r="H89" s="157" t="s">
        <v>147</v>
      </c>
      <c r="I89" s="157" t="s">
        <v>354</v>
      </c>
      <c r="J89" s="157"/>
      <c r="K89" s="157"/>
      <c r="L89" s="157"/>
      <c r="M89" s="157"/>
      <c r="N89" s="157"/>
      <c r="O89" s="157"/>
      <c r="P89" s="157"/>
      <c r="Q89" s="158">
        <v>0.3</v>
      </c>
      <c r="R89" s="158" t="s">
        <v>62</v>
      </c>
      <c r="S89" s="159">
        <f>Q89*C89</f>
        <v>1585.5</v>
      </c>
      <c r="T89" s="157" t="s">
        <v>232</v>
      </c>
      <c r="U89" s="157" t="s">
        <v>210</v>
      </c>
      <c r="V89" s="157"/>
      <c r="W89" s="157" t="s">
        <v>362</v>
      </c>
      <c r="X89" s="157"/>
      <c r="Y89" s="157"/>
      <c r="Z89" s="180"/>
      <c r="AA89" s="183" t="s">
        <v>351</v>
      </c>
      <c r="AE89" s="2"/>
      <c r="AF89" s="2"/>
      <c r="AG89" s="2"/>
    </row>
    <row r="90" spans="1:33" s="1" customFormat="1" ht="26.25" hidden="1" thickBot="1">
      <c r="A90" s="69" t="s">
        <v>117</v>
      </c>
      <c r="B90" s="86" t="s">
        <v>101</v>
      </c>
      <c r="C90" s="245"/>
      <c r="D90" s="86"/>
      <c r="E90" s="86" t="s">
        <v>75</v>
      </c>
      <c r="F90" s="86" t="s">
        <v>75</v>
      </c>
      <c r="G90" s="86" t="s">
        <v>118</v>
      </c>
      <c r="H90" s="86" t="s">
        <v>205</v>
      </c>
      <c r="I90" s="86" t="s">
        <v>118</v>
      </c>
      <c r="J90" s="86"/>
      <c r="K90" s="86"/>
      <c r="L90" s="86"/>
      <c r="M90" s="86" t="s">
        <v>206</v>
      </c>
      <c r="N90" s="86" t="s">
        <v>207</v>
      </c>
      <c r="O90" s="86"/>
      <c r="P90" s="86"/>
      <c r="Q90" s="114"/>
      <c r="R90" s="114"/>
      <c r="S90" s="88">
        <f>Q90*C90</f>
        <v>0</v>
      </c>
      <c r="T90" s="86"/>
      <c r="U90" s="86"/>
      <c r="V90" s="86" t="s">
        <v>148</v>
      </c>
      <c r="W90" s="86"/>
      <c r="X90" s="86"/>
      <c r="Y90" s="86"/>
      <c r="Z90" s="87"/>
      <c r="AA90" s="89"/>
      <c r="AE90" s="2"/>
      <c r="AF90" s="2"/>
      <c r="AG90" s="2"/>
    </row>
    <row r="91" spans="1:33" s="1" customFormat="1" ht="25.5" hidden="1">
      <c r="A91" s="334" t="s">
        <v>241</v>
      </c>
      <c r="B91" s="314" t="s">
        <v>120</v>
      </c>
      <c r="C91" s="337">
        <v>240</v>
      </c>
      <c r="D91" s="314" t="s">
        <v>11</v>
      </c>
      <c r="E91" s="314" t="s">
        <v>75</v>
      </c>
      <c r="F91" s="314" t="s">
        <v>75</v>
      </c>
      <c r="G91" s="84" t="s">
        <v>247</v>
      </c>
      <c r="H91" s="76"/>
      <c r="I91" s="76"/>
      <c r="J91" s="76"/>
      <c r="K91" s="76"/>
      <c r="L91" s="76"/>
      <c r="M91" s="76"/>
      <c r="N91" s="76"/>
      <c r="O91" s="76"/>
      <c r="P91" s="76"/>
      <c r="Q91" s="109"/>
      <c r="R91" s="109"/>
      <c r="S91" s="78"/>
      <c r="T91" s="76"/>
      <c r="U91" s="76"/>
      <c r="V91" s="76"/>
      <c r="W91" s="76"/>
      <c r="X91" s="76"/>
      <c r="Y91" s="76"/>
      <c r="Z91" s="76"/>
      <c r="AA91" s="125"/>
      <c r="AE91" s="2"/>
      <c r="AF91" s="2"/>
      <c r="AG91" s="2"/>
    </row>
    <row r="92" spans="1:33" s="1" customFormat="1" ht="12.75" hidden="1">
      <c r="A92" s="335"/>
      <c r="B92" s="316"/>
      <c r="C92" s="338"/>
      <c r="D92" s="316"/>
      <c r="E92" s="316"/>
      <c r="F92" s="316"/>
      <c r="G92" s="121"/>
      <c r="H92" s="117"/>
      <c r="I92" s="117"/>
      <c r="J92" s="117"/>
      <c r="K92" s="117"/>
      <c r="L92" s="117"/>
      <c r="M92" s="117"/>
      <c r="N92" s="117"/>
      <c r="O92" s="117"/>
      <c r="P92" s="117"/>
      <c r="Q92" s="122"/>
      <c r="R92" s="122"/>
      <c r="S92" s="123"/>
      <c r="T92" s="117"/>
      <c r="U92" s="117"/>
      <c r="V92" s="117"/>
      <c r="W92" s="117"/>
      <c r="X92" s="117"/>
      <c r="Y92" s="117"/>
      <c r="Z92" s="117"/>
      <c r="AA92" s="124"/>
      <c r="AE92" s="2"/>
      <c r="AF92" s="2"/>
      <c r="AG92" s="2"/>
    </row>
    <row r="93" spans="1:33" s="1" customFormat="1" ht="12.75" hidden="1">
      <c r="A93" s="335"/>
      <c r="B93" s="316"/>
      <c r="C93" s="338"/>
      <c r="D93" s="316"/>
      <c r="E93" s="316"/>
      <c r="F93" s="316"/>
      <c r="G93" s="121"/>
      <c r="H93" s="117"/>
      <c r="I93" s="117"/>
      <c r="J93" s="117"/>
      <c r="K93" s="117"/>
      <c r="L93" s="117"/>
      <c r="M93" s="117"/>
      <c r="N93" s="117"/>
      <c r="O93" s="117"/>
      <c r="P93" s="117"/>
      <c r="Q93" s="122"/>
      <c r="R93" s="122"/>
      <c r="S93" s="123"/>
      <c r="T93" s="117"/>
      <c r="U93" s="117"/>
      <c r="V93" s="117"/>
      <c r="W93" s="117"/>
      <c r="X93" s="117"/>
      <c r="Y93" s="117"/>
      <c r="Z93" s="117"/>
      <c r="AA93" s="124"/>
      <c r="AE93" s="2"/>
      <c r="AF93" s="2"/>
      <c r="AG93" s="2"/>
    </row>
    <row r="94" spans="1:33" s="1" customFormat="1" ht="13.5" hidden="1" thickBot="1">
      <c r="A94" s="336"/>
      <c r="B94" s="315"/>
      <c r="C94" s="339"/>
      <c r="D94" s="315"/>
      <c r="E94" s="315"/>
      <c r="F94" s="315"/>
      <c r="G94" s="118"/>
      <c r="H94" s="90"/>
      <c r="I94" s="90"/>
      <c r="J94" s="90"/>
      <c r="K94" s="90"/>
      <c r="L94" s="90"/>
      <c r="M94" s="90"/>
      <c r="N94" s="90"/>
      <c r="O94" s="90"/>
      <c r="P94" s="90"/>
      <c r="Q94" s="119"/>
      <c r="R94" s="119"/>
      <c r="S94" s="120"/>
      <c r="T94" s="90"/>
      <c r="U94" s="90"/>
      <c r="V94" s="90"/>
      <c r="W94" s="90"/>
      <c r="X94" s="90"/>
      <c r="Y94" s="90"/>
      <c r="Z94" s="90"/>
      <c r="AA94" s="90"/>
      <c r="AE94" s="2"/>
      <c r="AF94" s="2"/>
      <c r="AG94" s="2"/>
    </row>
    <row r="95" spans="1:33" s="1" customFormat="1" ht="12.75" hidden="1">
      <c r="A95" s="53" t="s">
        <v>108</v>
      </c>
      <c r="B95" s="54"/>
      <c r="C95" s="141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115"/>
      <c r="R95" s="115"/>
      <c r="S95" s="57"/>
      <c r="T95" s="54"/>
      <c r="U95" s="54"/>
      <c r="V95" s="54"/>
      <c r="W95" s="54"/>
      <c r="X95" s="54"/>
      <c r="Y95" s="54"/>
      <c r="Z95" s="58"/>
      <c r="AA95" s="59"/>
      <c r="AE95" s="2"/>
      <c r="AF95" s="2"/>
      <c r="AG95" s="2"/>
    </row>
    <row r="96" spans="1:33" s="1" customFormat="1" ht="12.75" hidden="1">
      <c r="A96" s="326" t="s">
        <v>111</v>
      </c>
      <c r="B96" s="326" t="s">
        <v>112</v>
      </c>
      <c r="C96" s="329"/>
      <c r="D96" s="326"/>
      <c r="E96" s="340"/>
      <c r="F96" s="340"/>
      <c r="G96" s="26" t="s">
        <v>113</v>
      </c>
      <c r="H96" s="22"/>
      <c r="I96" s="22"/>
      <c r="J96" s="22"/>
      <c r="K96" s="22"/>
      <c r="L96" s="22"/>
      <c r="M96" s="22"/>
      <c r="N96" s="22"/>
      <c r="O96" s="22"/>
      <c r="P96" s="22"/>
      <c r="Q96" s="111"/>
      <c r="R96" s="111"/>
      <c r="S96" s="42"/>
      <c r="T96" s="22"/>
      <c r="U96" s="22"/>
      <c r="V96" s="22"/>
      <c r="W96" s="22"/>
      <c r="X96" s="22"/>
      <c r="Y96" s="22"/>
      <c r="Z96" s="22"/>
      <c r="AA96" s="22"/>
      <c r="AE96" s="2"/>
      <c r="AF96" s="2"/>
      <c r="AG96" s="2"/>
    </row>
    <row r="97" spans="1:33" s="1" customFormat="1" ht="12.75" hidden="1">
      <c r="A97" s="326"/>
      <c r="B97" s="326"/>
      <c r="C97" s="329"/>
      <c r="D97" s="326"/>
      <c r="E97" s="340"/>
      <c r="F97" s="340"/>
      <c r="G97" s="26" t="s">
        <v>114</v>
      </c>
      <c r="H97" s="22"/>
      <c r="I97" s="22"/>
      <c r="J97" s="22"/>
      <c r="K97" s="22"/>
      <c r="L97" s="22"/>
      <c r="M97" s="22"/>
      <c r="N97" s="22"/>
      <c r="O97" s="22"/>
      <c r="P97" s="22"/>
      <c r="Q97" s="111"/>
      <c r="R97" s="111"/>
      <c r="S97" s="42"/>
      <c r="T97" s="22"/>
      <c r="U97" s="22"/>
      <c r="V97" s="22"/>
      <c r="W97" s="22"/>
      <c r="X97" s="22"/>
      <c r="Y97" s="22"/>
      <c r="Z97" s="22"/>
      <c r="AA97" s="22"/>
      <c r="AE97" s="2"/>
      <c r="AF97" s="2"/>
      <c r="AG97" s="2"/>
    </row>
    <row r="98" spans="1:33" s="1" customFormat="1" ht="12.75" hidden="1">
      <c r="A98" s="25" t="s">
        <v>111</v>
      </c>
      <c r="B98" s="22" t="s">
        <v>115</v>
      </c>
      <c r="C98" s="147"/>
      <c r="D98" s="22"/>
      <c r="E98" s="25"/>
      <c r="F98" s="25"/>
      <c r="G98" s="26" t="s">
        <v>114</v>
      </c>
      <c r="H98" s="22"/>
      <c r="I98" s="22"/>
      <c r="J98" s="22"/>
      <c r="K98" s="22"/>
      <c r="L98" s="22"/>
      <c r="M98" s="22"/>
      <c r="N98" s="22"/>
      <c r="O98" s="22"/>
      <c r="P98" s="22"/>
      <c r="Q98" s="111"/>
      <c r="R98" s="111"/>
      <c r="S98" s="42"/>
      <c r="T98" s="22"/>
      <c r="U98" s="22"/>
      <c r="V98" s="22"/>
      <c r="W98" s="22"/>
      <c r="X98" s="22"/>
      <c r="Y98" s="22"/>
      <c r="Z98" s="22"/>
      <c r="AA98" s="22"/>
      <c r="AE98" s="2"/>
      <c r="AF98" s="2"/>
      <c r="AG98" s="2"/>
    </row>
    <row r="99" spans="1:33" s="1" customFormat="1" ht="12.75" hidden="1">
      <c r="A99" s="326" t="s">
        <v>119</v>
      </c>
      <c r="B99" s="326" t="s">
        <v>120</v>
      </c>
      <c r="C99" s="329"/>
      <c r="D99" s="326"/>
      <c r="E99" s="340"/>
      <c r="F99" s="340"/>
      <c r="G99" s="26" t="s">
        <v>121</v>
      </c>
      <c r="H99" s="22"/>
      <c r="I99" s="22"/>
      <c r="J99" s="22"/>
      <c r="K99" s="22"/>
      <c r="L99" s="22"/>
      <c r="M99" s="22"/>
      <c r="N99" s="22"/>
      <c r="O99" s="22"/>
      <c r="P99" s="22"/>
      <c r="Q99" s="111"/>
      <c r="R99" s="111"/>
      <c r="S99" s="42"/>
      <c r="T99" s="22"/>
      <c r="U99" s="22"/>
      <c r="V99" s="22"/>
      <c r="W99" s="22"/>
      <c r="X99" s="22"/>
      <c r="Y99" s="22"/>
      <c r="Z99" s="22"/>
      <c r="AA99" s="22"/>
      <c r="AE99" s="2"/>
      <c r="AF99" s="2"/>
      <c r="AG99" s="2"/>
    </row>
    <row r="100" spans="1:33" s="1" customFormat="1" ht="12.75" hidden="1">
      <c r="A100" s="326"/>
      <c r="B100" s="326"/>
      <c r="C100" s="329"/>
      <c r="D100" s="326"/>
      <c r="E100" s="340"/>
      <c r="F100" s="340"/>
      <c r="G100" s="26" t="s">
        <v>90</v>
      </c>
      <c r="H100" s="22"/>
      <c r="I100" s="22"/>
      <c r="J100" s="22"/>
      <c r="K100" s="22"/>
      <c r="L100" s="22"/>
      <c r="M100" s="22"/>
      <c r="N100" s="22"/>
      <c r="O100" s="22"/>
      <c r="P100" s="22"/>
      <c r="Q100" s="111"/>
      <c r="R100" s="111"/>
      <c r="S100" s="42"/>
      <c r="T100" s="22"/>
      <c r="U100" s="22"/>
      <c r="V100" s="22"/>
      <c r="W100" s="22"/>
      <c r="X100" s="22"/>
      <c r="Y100" s="22"/>
      <c r="Z100" s="22"/>
      <c r="AA100" s="22"/>
      <c r="AE100" s="2"/>
      <c r="AF100" s="2"/>
      <c r="AG100" s="2"/>
    </row>
    <row r="101" spans="1:33" s="1" customFormat="1" ht="12.75" hidden="1">
      <c r="A101" s="326" t="s">
        <v>119</v>
      </c>
      <c r="B101" s="326" t="s">
        <v>122</v>
      </c>
      <c r="C101" s="329"/>
      <c r="D101" s="326"/>
      <c r="E101" s="340"/>
      <c r="F101" s="340"/>
      <c r="G101" s="26" t="s">
        <v>90</v>
      </c>
      <c r="H101" s="22"/>
      <c r="I101" s="22"/>
      <c r="J101" s="22"/>
      <c r="K101" s="22"/>
      <c r="L101" s="22"/>
      <c r="M101" s="22"/>
      <c r="N101" s="22"/>
      <c r="O101" s="22"/>
      <c r="P101" s="22"/>
      <c r="Q101" s="111"/>
      <c r="R101" s="111"/>
      <c r="S101" s="42"/>
      <c r="T101" s="22"/>
      <c r="U101" s="22"/>
      <c r="V101" s="22"/>
      <c r="W101" s="22"/>
      <c r="X101" s="22"/>
      <c r="Y101" s="22"/>
      <c r="Z101" s="22"/>
      <c r="AA101" s="22"/>
      <c r="AE101" s="2"/>
      <c r="AF101" s="2"/>
      <c r="AG101" s="2"/>
    </row>
    <row r="102" spans="1:33" s="1" customFormat="1" ht="12.75" hidden="1">
      <c r="A102" s="326"/>
      <c r="B102" s="326"/>
      <c r="C102" s="329"/>
      <c r="D102" s="326"/>
      <c r="E102" s="340"/>
      <c r="F102" s="340"/>
      <c r="G102" s="26" t="s">
        <v>90</v>
      </c>
      <c r="H102" s="22"/>
      <c r="I102" s="22"/>
      <c r="J102" s="22"/>
      <c r="K102" s="22"/>
      <c r="L102" s="22"/>
      <c r="M102" s="22"/>
      <c r="N102" s="22"/>
      <c r="O102" s="22"/>
      <c r="P102" s="22"/>
      <c r="Q102" s="111"/>
      <c r="R102" s="111"/>
      <c r="S102" s="42"/>
      <c r="T102" s="22"/>
      <c r="U102" s="22"/>
      <c r="V102" s="22"/>
      <c r="W102" s="22"/>
      <c r="X102" s="22"/>
      <c r="Y102" s="22"/>
      <c r="Z102" s="22"/>
      <c r="AA102" s="22"/>
      <c r="AE102" s="2"/>
      <c r="AF102" s="2"/>
      <c r="AG102" s="2"/>
    </row>
    <row r="103" spans="1:33" s="1" customFormat="1" ht="12.75" hidden="1">
      <c r="A103" s="340" t="s">
        <v>125</v>
      </c>
      <c r="B103" s="326" t="s">
        <v>101</v>
      </c>
      <c r="C103" s="329"/>
      <c r="D103" s="326"/>
      <c r="E103" s="340"/>
      <c r="F103" s="340"/>
      <c r="G103" s="26" t="s">
        <v>123</v>
      </c>
      <c r="H103" s="22"/>
      <c r="I103" s="22"/>
      <c r="J103" s="22"/>
      <c r="K103" s="22"/>
      <c r="L103" s="22"/>
      <c r="M103" s="22"/>
      <c r="N103" s="22"/>
      <c r="O103" s="22"/>
      <c r="P103" s="22"/>
      <c r="Q103" s="111"/>
      <c r="R103" s="111"/>
      <c r="S103" s="42"/>
      <c r="T103" s="22"/>
      <c r="U103" s="22"/>
      <c r="V103" s="22"/>
      <c r="W103" s="22"/>
      <c r="X103" s="22"/>
      <c r="Y103" s="22"/>
      <c r="Z103" s="22"/>
      <c r="AA103" s="22"/>
      <c r="AE103" s="2"/>
      <c r="AF103" s="2"/>
      <c r="AG103" s="2"/>
    </row>
    <row r="104" spans="1:33" s="1" customFormat="1" ht="12.75" hidden="1">
      <c r="A104" s="340"/>
      <c r="B104" s="326"/>
      <c r="C104" s="329"/>
      <c r="D104" s="326"/>
      <c r="E104" s="340"/>
      <c r="F104" s="340"/>
      <c r="G104" s="26" t="s">
        <v>124</v>
      </c>
      <c r="H104" s="22"/>
      <c r="I104" s="22"/>
      <c r="J104" s="22"/>
      <c r="K104" s="22"/>
      <c r="L104" s="22"/>
      <c r="M104" s="22"/>
      <c r="N104" s="22"/>
      <c r="O104" s="22"/>
      <c r="P104" s="22"/>
      <c r="Q104" s="111"/>
      <c r="R104" s="111"/>
      <c r="S104" s="42"/>
      <c r="T104" s="22"/>
      <c r="U104" s="22"/>
      <c r="V104" s="22"/>
      <c r="W104" s="22"/>
      <c r="X104" s="22"/>
      <c r="Y104" s="22"/>
      <c r="Z104" s="22"/>
      <c r="AA104" s="22"/>
      <c r="AE104" s="2"/>
      <c r="AF104" s="2"/>
      <c r="AG104" s="2"/>
    </row>
    <row r="105" spans="1:33" s="1" customFormat="1" ht="12.75" hidden="1">
      <c r="A105" s="27" t="s">
        <v>175</v>
      </c>
      <c r="B105" s="10"/>
      <c r="C105" s="137"/>
      <c r="D105" s="10"/>
      <c r="E105" s="27"/>
      <c r="F105" s="27"/>
      <c r="G105" s="28"/>
      <c r="H105" s="10"/>
      <c r="I105" s="10"/>
      <c r="J105" s="10"/>
      <c r="K105" s="10"/>
      <c r="L105" s="10"/>
      <c r="M105" s="10"/>
      <c r="N105" s="10"/>
      <c r="O105" s="10"/>
      <c r="P105" s="10"/>
      <c r="Q105" s="95"/>
      <c r="R105" s="95"/>
      <c r="S105" s="35"/>
      <c r="T105" s="10"/>
      <c r="U105" s="10"/>
      <c r="V105" s="10"/>
      <c r="W105" s="10"/>
      <c r="X105" s="10"/>
      <c r="Y105" s="10"/>
      <c r="Z105" s="10"/>
      <c r="AA105" s="10"/>
      <c r="AE105" s="2"/>
      <c r="AF105" s="2"/>
      <c r="AG105" s="2"/>
    </row>
  </sheetData>
  <sheetProtection/>
  <mergeCells count="156">
    <mergeCell ref="D87:D88"/>
    <mergeCell ref="C87:C88"/>
    <mergeCell ref="F72:F74"/>
    <mergeCell ref="E72:E74"/>
    <mergeCell ref="D72:D74"/>
    <mergeCell ref="C72:C74"/>
    <mergeCell ref="B72:B74"/>
    <mergeCell ref="A72:A74"/>
    <mergeCell ref="F7:F9"/>
    <mergeCell ref="B7:B9"/>
    <mergeCell ref="A7:A9"/>
    <mergeCell ref="F10:F12"/>
    <mergeCell ref="B10:B12"/>
    <mergeCell ref="A10:A12"/>
    <mergeCell ref="E10:E12"/>
    <mergeCell ref="D10:D12"/>
    <mergeCell ref="C10:C12"/>
    <mergeCell ref="E7:E9"/>
    <mergeCell ref="D7:D9"/>
    <mergeCell ref="C7:C9"/>
    <mergeCell ref="D21:D22"/>
    <mergeCell ref="C21:C22"/>
    <mergeCell ref="D13:D14"/>
    <mergeCell ref="C13:C14"/>
    <mergeCell ref="B21:B22"/>
    <mergeCell ref="A21:A22"/>
    <mergeCell ref="B19:B20"/>
    <mergeCell ref="A19:A20"/>
    <mergeCell ref="F15:F18"/>
    <mergeCell ref="E15:E18"/>
    <mergeCell ref="B13:B14"/>
    <mergeCell ref="A13:A14"/>
    <mergeCell ref="D15:D18"/>
    <mergeCell ref="C15:C18"/>
    <mergeCell ref="B15:B18"/>
    <mergeCell ref="A15:A18"/>
    <mergeCell ref="F5:F6"/>
    <mergeCell ref="E5:E6"/>
    <mergeCell ref="D5:D6"/>
    <mergeCell ref="C5:C6"/>
    <mergeCell ref="B5:B6"/>
    <mergeCell ref="A5:A6"/>
    <mergeCell ref="F13:F14"/>
    <mergeCell ref="E13:E14"/>
    <mergeCell ref="B59:B62"/>
    <mergeCell ref="A59:A62"/>
    <mergeCell ref="A63:A64"/>
    <mergeCell ref="B63:B64"/>
    <mergeCell ref="C63:C64"/>
    <mergeCell ref="D63:D64"/>
    <mergeCell ref="D59:D62"/>
    <mergeCell ref="C59:C62"/>
    <mergeCell ref="A103:A104"/>
    <mergeCell ref="B103:B104"/>
    <mergeCell ref="C103:C104"/>
    <mergeCell ref="D103:D104"/>
    <mergeCell ref="E103:E104"/>
    <mergeCell ref="F103:F104"/>
    <mergeCell ref="A101:A102"/>
    <mergeCell ref="B101:B102"/>
    <mergeCell ref="C101:C102"/>
    <mergeCell ref="D101:D102"/>
    <mergeCell ref="E101:E102"/>
    <mergeCell ref="F101:F102"/>
    <mergeCell ref="A99:A100"/>
    <mergeCell ref="B99:B100"/>
    <mergeCell ref="C99:C100"/>
    <mergeCell ref="D99:D100"/>
    <mergeCell ref="E99:E100"/>
    <mergeCell ref="F99:F100"/>
    <mergeCell ref="A96:A97"/>
    <mergeCell ref="B96:B97"/>
    <mergeCell ref="C96:C97"/>
    <mergeCell ref="D96:D97"/>
    <mergeCell ref="E96:E97"/>
    <mergeCell ref="F96:F97"/>
    <mergeCell ref="A91:A94"/>
    <mergeCell ref="B91:B94"/>
    <mergeCell ref="C91:C94"/>
    <mergeCell ref="D91:D94"/>
    <mergeCell ref="E91:E94"/>
    <mergeCell ref="F91:F94"/>
    <mergeCell ref="A87:A89"/>
    <mergeCell ref="B87:B89"/>
    <mergeCell ref="E87:E89"/>
    <mergeCell ref="F87:F89"/>
    <mergeCell ref="A84:A85"/>
    <mergeCell ref="B84:B85"/>
    <mergeCell ref="C84:C85"/>
    <mergeCell ref="D84:D85"/>
    <mergeCell ref="E84:E85"/>
    <mergeCell ref="F84:F85"/>
    <mergeCell ref="A80:A82"/>
    <mergeCell ref="B80:B82"/>
    <mergeCell ref="C80:C82"/>
    <mergeCell ref="D80:D82"/>
    <mergeCell ref="E80:E82"/>
    <mergeCell ref="F80:F82"/>
    <mergeCell ref="A77:A79"/>
    <mergeCell ref="B77:B79"/>
    <mergeCell ref="C77:C79"/>
    <mergeCell ref="D77:D79"/>
    <mergeCell ref="E77:E79"/>
    <mergeCell ref="F77:F79"/>
    <mergeCell ref="A69:A71"/>
    <mergeCell ref="B69:B71"/>
    <mergeCell ref="C69:C71"/>
    <mergeCell ref="D69:D71"/>
    <mergeCell ref="E69:E71"/>
    <mergeCell ref="F69:F71"/>
    <mergeCell ref="A66:A67"/>
    <mergeCell ref="B66:B67"/>
    <mergeCell ref="C66:C67"/>
    <mergeCell ref="D66:D67"/>
    <mergeCell ref="E66:E67"/>
    <mergeCell ref="F66:F67"/>
    <mergeCell ref="A56:A58"/>
    <mergeCell ref="B56:B58"/>
    <mergeCell ref="C56:C58"/>
    <mergeCell ref="D56:D58"/>
    <mergeCell ref="E56:E58"/>
    <mergeCell ref="F56:F58"/>
    <mergeCell ref="A52:A55"/>
    <mergeCell ref="B52:B55"/>
    <mergeCell ref="C52:C55"/>
    <mergeCell ref="D52:D55"/>
    <mergeCell ref="E52:E55"/>
    <mergeCell ref="F52:F55"/>
    <mergeCell ref="A46:A50"/>
    <mergeCell ref="B46:B50"/>
    <mergeCell ref="C46:C50"/>
    <mergeCell ref="D46:D50"/>
    <mergeCell ref="E46:E50"/>
    <mergeCell ref="F46:F50"/>
    <mergeCell ref="A27:A28"/>
    <mergeCell ref="B27:B28"/>
    <mergeCell ref="C27:C28"/>
    <mergeCell ref="D27:D28"/>
    <mergeCell ref="E27:E28"/>
    <mergeCell ref="F27:F28"/>
    <mergeCell ref="A25:A26"/>
    <mergeCell ref="B25:B26"/>
    <mergeCell ref="C25:C26"/>
    <mergeCell ref="D25:D26"/>
    <mergeCell ref="E25:E26"/>
    <mergeCell ref="F25:F26"/>
    <mergeCell ref="E63:E64"/>
    <mergeCell ref="F63:F64"/>
    <mergeCell ref="F19:F20"/>
    <mergeCell ref="E19:E20"/>
    <mergeCell ref="D19:D20"/>
    <mergeCell ref="C19:C20"/>
    <mergeCell ref="F59:F62"/>
    <mergeCell ref="E59:E62"/>
    <mergeCell ref="F21:F22"/>
    <mergeCell ref="E21:E22"/>
  </mergeCells>
  <hyperlinks>
    <hyperlink ref="AA18" r:id="rId1" display="http://www.mqp.co.uk/low-energy-asphalt.htm"/>
    <hyperlink ref="AA82" r:id="rId2" display="https://www.diydata.com/general_building/brick_calculator/brick_calculator.php"/>
    <hyperlink ref="AA81" r:id="rId3" display="https://www.diydata.com/general_building/brick_calculator/brick_calculator.php"/>
  </hyperlinks>
  <printOptions/>
  <pageMargins left="0.5511811023622047" right="0.5511811023622047" top="0.7874015748031497" bottom="0.7874015748031497" header="0.5118110236220472" footer="0.5118110236220472"/>
  <pageSetup fitToHeight="0" fitToWidth="1" horizontalDpi="600" verticalDpi="600" orientation="landscape" paperSize="9" scale="40" r:id="rId5"/>
  <headerFooter>
    <oddHeader>&amp;L&amp;"Verdana,Bold"
BICESTER ECO TOWN - EXEMPLAR SITE (PHASE 1)&amp;C&amp;"Verdana,Bold"
MATERIALS UNDER CONSIDERATION (A WORKING DOCUMENT)&amp;R&amp;G</oddHeader>
    <oddFooter>&amp;L&amp;"Verdana,Regular"&amp;F/&amp;A
&amp;1#&amp;"Calibri"&amp;10 Classified as General&amp;R&amp;"Verdana,Regular"Page &amp;P of &amp;N</oddFooter>
  </headerFooter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300" verticalDpi="300" orientation="portrait" paperSize="9" r:id="rId1"/>
  <headerFooter>
    <oddFooter>&amp;L&amp;1#&amp;"Calibri"&amp;10 Classified as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Willmott Dixon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Willmott Dixon</dc:creator>
  <cp:keywords/>
  <dc:description/>
  <cp:lastModifiedBy>Andrew North</cp:lastModifiedBy>
  <cp:lastPrinted>2013-05-03T13:14:25Z</cp:lastPrinted>
  <dcterms:created xsi:type="dcterms:W3CDTF">2012-08-02T13:07:13Z</dcterms:created>
  <dcterms:modified xsi:type="dcterms:W3CDTF">2019-07-25T16:17:17Z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6af4167-57ea-4d61-b4f0-bbc0195ccbfa_Enabled">
    <vt:lpwstr>True</vt:lpwstr>
  </property>
  <property fmtid="{D5CDD505-2E9C-101B-9397-08002B2CF9AE}" pid="3" name="MSIP_Label_76af4167-57ea-4d61-b4f0-bbc0195ccbfa_SiteId">
    <vt:lpwstr>bdd51e2c-3db0-4b59-b17d-7c70ac9bdec9</vt:lpwstr>
  </property>
  <property fmtid="{D5CDD505-2E9C-101B-9397-08002B2CF9AE}" pid="4" name="MSIP_Label_76af4167-57ea-4d61-b4f0-bbc0195ccbfa_Owner">
    <vt:lpwstr>Andrew.North@crestnicholson.com</vt:lpwstr>
  </property>
  <property fmtid="{D5CDD505-2E9C-101B-9397-08002B2CF9AE}" pid="5" name="MSIP_Label_76af4167-57ea-4d61-b4f0-bbc0195ccbfa_SetDate">
    <vt:lpwstr>2019-07-25T16:17:02.2218937Z</vt:lpwstr>
  </property>
  <property fmtid="{D5CDD505-2E9C-101B-9397-08002B2CF9AE}" pid="6" name="MSIP_Label_76af4167-57ea-4d61-b4f0-bbc0195ccbfa_Name">
    <vt:lpwstr>General</vt:lpwstr>
  </property>
  <property fmtid="{D5CDD505-2E9C-101B-9397-08002B2CF9AE}" pid="7" name="MSIP_Label_76af4167-57ea-4d61-b4f0-bbc0195ccbfa_Application">
    <vt:lpwstr>Microsoft Azure Information Protection</vt:lpwstr>
  </property>
  <property fmtid="{D5CDD505-2E9C-101B-9397-08002B2CF9AE}" pid="8" name="MSIP_Label_76af4167-57ea-4d61-b4f0-bbc0195ccbfa_Extended_MSFT_Method">
    <vt:lpwstr>Automatic</vt:lpwstr>
  </property>
  <property fmtid="{D5CDD505-2E9C-101B-9397-08002B2CF9AE}" pid="9" name="Sensitivity">
    <vt:lpwstr>General</vt:lpwstr>
  </property>
</Properties>
</file>