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480" windowWidth="19035" windowHeight="5910"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<sst xmlns="http://schemas.openxmlformats.org/spreadsheetml/2006/main" count="1750" uniqueCount="351">
  <si>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</si>
  <si>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</si>
  <si>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</si>
  <si>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</si>
  <si>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</si>
  <si>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</si>
  <si>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</si>
  <si>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</si>
  <si>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</si>
  <si>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</si>
  <si>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</si>
  <si>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</si>
  <si>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</si>
  <si>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</si>
  <si>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</si>
  <si>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</si>
  <si>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</si>
  <si>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</si>
  <si>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</si>
  <si>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</si>
  <si>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</si>
  <si>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</si>
  <si>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</si>
  <si>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</si>
  <si>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</si>
  <si>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</si>
  <si>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</si>
  <si>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</si>
  <si>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</si>
  <si>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</si>
  <si>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</si>
  <si>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</si>
  <si>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</si>
  <si>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</si>
  <si>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</si>
  <si>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</si>
  <si>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</si>
  <si>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</si>
  <si>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</si>
  <si>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</si>
  <si>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</si>
  <si>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</si>
  <si>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</si>
  <si>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</si>
  <si>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</si>
  <si>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</si>
  <si>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</si>
  <si>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</si>
  <si>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</si>
  <si>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</si>
  <si>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</si>
  <si>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</si>
  <si>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</si>
  <si>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</si>
  <si>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</si>
  <si>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</si>
  <si>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</si>
  <si>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</si>
  <si>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</si>
  <si>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</si>
  <si>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</si>
  <si>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</si>
  <si>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</si>
  <si>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</si>
  <si>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</si>
  <si>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</si>
  <si>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</si>
  <si>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</si>
  <si>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</si>
  <si>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</si>
  <si>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</si>
  <si>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</si>
  <si>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</si>
  <si>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</si>
  <si>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</si>
  <si>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</si>
  <si>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</si>
  <si>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</si>
  <si>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</si>
  <si>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</si>
  <si>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</si>
  <si>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</si>
  <si>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</si>
  <si>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</si>
  <si>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</si>
  <si>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</si>
  <si>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</si>
  <si>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</si>
  <si>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</si>
  <si>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</si>
  <si>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</si>
  <si>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</si>
  <si>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</si>
  <si>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</si>
  <si>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</si>
  <si>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</si>
  <si>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</si>
  <si>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</si>
  <si>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</si>
  <si>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</si>
  <si>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</si>
  <si>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</si>
  <si>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</si>
  <si>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</si>
  <si>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</si>
  <si>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</si>
  <si>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</si>
  <si>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</si>
  <si>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</si>
  <si>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</si>
  <si>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</si>
  <si>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</si>
  <si>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</si>
  <si>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</si>
  <si>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</si>
  <si>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</si>
  <si>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</si>
  <si>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</si>
  <si>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</si>
  <si>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</si>
  <si>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</si>
  <si>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</si>
  <si>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</si>
  <si>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</si>
  <si>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</si>
  <si>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</si>
  <si>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</si>
  <si>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</si>
  <si>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</si>
  <si>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</si>
  <si>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</si>
  <si>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</si>
  <si>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</si>
  <si>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</si>
  <si>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</si>
  <si>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</si>
  <si>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</si>
  <si>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</si>
  <si>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</si>
  <si>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</si>
  <si>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</si>
  <si>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</si>
  <si>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</si>
  <si>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</si>
  <si>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</si>
  <si>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</si>
  <si>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</si>
  <si>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</si>
  <si>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</si>
  <si>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</si>
  <si>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</si>
  <si>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</si>
  <si>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</si>
  <si>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</si>
  <si>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</si>
  <si>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</si>
  <si>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</si>
  <si>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</si>
  <si>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</si>
  <si>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</si>
  <si>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</si>
  <si>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</si>
  <si>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</si>
  <si>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</si>
  <si>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</si>
  <si>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</si>
  <si>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</si>
  <si>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</si>
  <si>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</si>
  <si>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</si>
  <si>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</si>
  <si>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</si>
  <si>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</si>
  <si>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</si>
  <si>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</si>
  <si>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</si>
  <si>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</si>
  <si>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</si>
  <si>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</si>
  <si>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</si>
  <si>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</si>
  <si>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</si>
  <si>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</si>
  <si>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</si>
  <si>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</si>
  <si>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</si>
  <si>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</si>
  <si>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</si>
  <si>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</si>
  <si>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</si>
  <si>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</si>
  <si>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</si>
  <si>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</si>
  <si>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</si>
  <si>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</si>
  <si>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</si>
  <si>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</si>
  <si>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</si>
  <si>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</si>
  <si>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</si>
  <si>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</si>
  <si>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</si>
  <si>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</si>
  <si>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</si>
  <si>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</si>
  <si>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</si>
  <si>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</si>
  <si>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</si>
  <si>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</si>
  <si>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</si>
  <si>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</si>
  <si>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</si>
  <si>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</si>
  <si>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</si>
  <si>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</si>
  <si>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</si>
  <si>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</si>
  <si>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</si>
  <si>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</si>
  <si>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</si>
  <si>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</si>
  <si>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</si>
  <si>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</si>
  <si>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</si>
  <si>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</si>
  <si>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</si>
  <si>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</si>
  <si>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</si>
  <si>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</si>
  <si>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</si>
  <si>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</si>
  <si>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</si>
  <si>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</si>
  <si>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</si>
  <si>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</si>
  <si>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</si>
  <si>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</si>
  <si>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</si>
  <si>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</si>
  <si>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</si>
  <si>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</si>
  <si>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</si>
  <si>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</si>
  <si>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</si>
  <si>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</si>
  <si>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</si>
  <si>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</si>
  <si>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</si>
  <si>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</si>
  <si>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</si>
  <si>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</si>
  <si>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</si>
  <si>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</si>
  <si>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</si>
  <si>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</si>
  <si>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</si>
  <si>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</si>
  <si>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</si>
  <si>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</si>
  <si>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</si>
  <si>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</si>
  <si>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</si>
  <si>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</si>
  <si>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</si>
  <si>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</si>
  <si>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</si>
  <si>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</si>
  <si>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</si>
  <si>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</si>
  <si>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</si>
  <si>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</si>
  <si>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</si>
  <si>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</si>
  <si>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</si>
  <si>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</si>
  <si>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</si>
  <si>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</si>
  <si>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</si>
  <si>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</si>
  <si>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</si>
  <si>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</si>
  <si>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</si>
  <si>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</si>
  <si>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</si>
  <si>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</si>
  <si>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</si>
  <si>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</si>
  <si>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</si>
  <si>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</si>
  <si>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</si>
  <si>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</si>
  <si>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</si>
  <si>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</si>
  <si>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</si>
  <si>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</si>
  <si>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</si>
  <si>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</si>
  <si>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</si>
  <si>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</si>
  <si>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</si>
  <si>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</si>
  <si>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</si>
  <si>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</si>
  <si>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</si>
  <si>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</si>
  <si>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</si>
  <si>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</si>
  <si>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</si>
  <si>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</si>
  <si>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</si>
  <si>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</si>
  <si>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</si>
  <si>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</si>
  <si>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</si>
  <si>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</si>
  <si>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</si>
  <si>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</si>
  <si>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</si>
  <si>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</si>
  <si>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</si>
  <si>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</si>
  <si>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</si>
  <si>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</si>
  <si>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</si>
  <si>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</si>
  <si>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</si>
  <si>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</si>
  <si>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</si>
  <si>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</si>
  <si>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</si>
  <si>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</si>
  <si>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</si>
  <si>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</si>
  <si>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</si>
  <si>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</si>
  <si>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</si>
  <si>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</si>
  <si>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</si>
  <si>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</si>
  <si>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</si>
  <si>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</si>
  <si>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Warwickshire</t>
  </si>
  <si>
    <t>Land at Berry Hill, Adderbury</t>
  </si>
  <si>
    <t xml:space="preserve">Management plan would detail how this status to be achieved and all management prescriptions etc. This would be condittioned </t>
  </si>
  <si>
    <t>Area to centre of site used for horse grazing</t>
  </si>
  <si>
    <t>Grassland understood to be regularly managed by landowner. Borderline overgrown improved/ poor semi improved..</t>
  </si>
  <si>
    <t>Scattered trees along boundary features etc</t>
  </si>
  <si>
    <t>Changed condition of bare ground from moderate to poor (LS)</t>
  </si>
  <si>
    <t>To be fenced off and protected to get "good" status</t>
  </si>
  <si>
    <t>Management plan would detail how "moderate status" to be achieved over 10 years. This would be recommended as a condition.</t>
  </si>
  <si>
    <t>To be located within amenity areas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</si>
</sst>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style="thin"/>
      <right/>
      <top/>
      <bottom style="thin"/>
    </border>
    <border>
      <left/>
      <right style="thin"/>
      <top/>
      <bottom style="thin"/>
    </border>
    <border>
      <left/>
      <right/>
      <top style="thin"/>
      <bottom/>
    </border>
    <border>
      <left>
        <color indexed="63"/>
      </left>
      <right style="thin"/>
      <top style="thin"/>
      <botto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5">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46"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47" fillId="34" borderId="31" xfId="0" applyFont="1" applyFill="1" applyBorder="1" applyAlignment="1">
      <alignment vertical="center"/>
    </xf>
    <xf numFmtId="0" fontId="48"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6"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6"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7"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46"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6" applyFont="1" applyFill="1" applyBorder="1" applyAlignment="1" applyProtection="1">
      <alignment wrapText="1"/>
      <protection locked="0"/>
    </xf>
    <xf numFmtId="2" fontId="0" fillId="33" borderId="0" xfId="56"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6"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46"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6" applyFont="1"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6"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6" applyFont="1" applyFill="1" applyBorder="1" applyAlignment="1" applyProtection="1">
      <alignment horizontal="center" vertical="center"/>
      <protection/>
    </xf>
    <xf numFmtId="0" fontId="0" fillId="12" borderId="12" xfId="56" applyFont="1" applyFill="1" applyBorder="1" applyAlignment="1" applyProtection="1">
      <alignment horizontal="center" vertical="center"/>
      <protection/>
    </xf>
    <xf numFmtId="0" fontId="0" fillId="12" borderId="37" xfId="56"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6"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6" applyFont="1" applyFill="1" applyBorder="1" applyAlignment="1" applyProtection="1">
      <alignment horizontal="center"/>
      <protection/>
    </xf>
    <xf numFmtId="2" fontId="47" fillId="34" borderId="52" xfId="0" applyNumberFormat="1" applyFont="1" applyFill="1" applyBorder="1" applyAlignment="1" applyProtection="1">
      <alignment/>
      <protection/>
    </xf>
    <xf numFmtId="2" fontId="47" fillId="34" borderId="49" xfId="0" applyNumberFormat="1" applyFont="1" applyFill="1" applyBorder="1" applyAlignment="1" applyProtection="1">
      <alignment/>
      <protection/>
    </xf>
    <xf numFmtId="0" fontId="47" fillId="34" borderId="27" xfId="0" applyFont="1" applyFill="1" applyBorder="1" applyAlignment="1" applyProtection="1">
      <alignment vertical="top" wrapText="1"/>
      <protection/>
    </xf>
    <xf numFmtId="0" fontId="47"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6" applyFont="1" applyFill="1" applyBorder="1" applyAlignment="1" applyProtection="1">
      <alignment horizontal="center" vertical="center"/>
      <protection/>
    </xf>
    <xf numFmtId="0" fontId="0" fillId="12" borderId="28" xfId="56"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6"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6"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6" applyFont="1" applyFill="1" applyBorder="1" applyAlignment="1" applyProtection="1">
      <alignment horizontal="center" vertical="center"/>
      <protection/>
    </xf>
    <xf numFmtId="0" fontId="0" fillId="12" borderId="43" xfId="56" applyFont="1" applyFill="1" applyBorder="1" applyAlignment="1" applyProtection="1">
      <alignment horizontal="center" vertical="center"/>
      <protection/>
    </xf>
    <xf numFmtId="0" fontId="0" fillId="12" borderId="44" xfId="56"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6" applyFont="1" applyFill="1" applyBorder="1" applyAlignment="1" applyProtection="1">
      <alignment horizontal="center" vertical="center"/>
      <protection/>
    </xf>
    <xf numFmtId="0" fontId="0" fillId="8" borderId="12" xfId="56" applyFont="1" applyFill="1" applyBorder="1" applyAlignment="1" applyProtection="1">
      <alignment horizontal="center" vertical="center"/>
      <protection/>
    </xf>
    <xf numFmtId="0" fontId="0" fillId="8" borderId="37" xfId="56"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6"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6"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6" applyFont="1" applyFill="1" applyBorder="1" applyAlignment="1" applyProtection="1">
      <alignment horizontal="center" vertical="center"/>
      <protection/>
    </xf>
    <xf numFmtId="0" fontId="0" fillId="8" borderId="43" xfId="56" applyFont="1" applyFill="1" applyBorder="1" applyAlignment="1" applyProtection="1">
      <alignment horizontal="center" vertical="center"/>
      <protection/>
    </xf>
    <xf numFmtId="0" fontId="0" fillId="8" borderId="44" xfId="56"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46"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7" fillId="34" borderId="52" xfId="0" applyFont="1" applyFill="1" applyBorder="1" applyAlignment="1" applyProtection="1">
      <alignment horizontal="right"/>
      <protection locked="0"/>
    </xf>
    <xf numFmtId="0" fontId="47" fillId="34" borderId="51" xfId="0" applyFont="1" applyFill="1" applyBorder="1" applyAlignment="1" applyProtection="1">
      <alignment horizontal="left"/>
      <protection locked="0"/>
    </xf>
    <xf numFmtId="0" fontId="47"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6"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6"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6"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47" fillId="34" borderId="59" xfId="56" applyFont="1" applyFill="1" applyBorder="1" applyAlignment="1" applyProtection="1">
      <alignment horizontal="right" vertical="center" wrapText="1"/>
      <protection/>
    </xf>
    <xf numFmtId="2" fontId="0" fillId="13" borderId="59" xfId="56" applyNumberFormat="1" applyFont="1" applyFill="1" applyBorder="1" applyAlignment="1" applyProtection="1">
      <alignment vertical="center"/>
      <protection/>
    </xf>
    <xf numFmtId="2" fontId="0" fillId="34" borderId="0" xfId="56" applyNumberFormat="1" applyFont="1" applyFill="1" applyBorder="1" applyAlignment="1" applyProtection="1">
      <alignment vertical="center"/>
      <protection/>
    </xf>
    <xf numFmtId="2" fontId="0" fillId="34" borderId="21" xfId="56" applyNumberFormat="1" applyFont="1" applyFill="1" applyBorder="1" applyAlignment="1" applyProtection="1">
      <alignment vertical="center"/>
      <protection/>
    </xf>
    <xf numFmtId="2" fontId="0" fillId="13" borderId="67" xfId="56" applyNumberFormat="1" applyFont="1" applyFill="1" applyBorder="1" applyAlignment="1" applyProtection="1">
      <alignment vertical="center"/>
      <protection/>
    </xf>
    <xf numFmtId="2" fontId="0" fillId="13" borderId="68" xfId="56" applyNumberFormat="1" applyFont="1" applyFill="1" applyBorder="1" applyAlignment="1" applyProtection="1">
      <alignment vertical="center"/>
      <protection/>
    </xf>
    <xf numFmtId="2" fontId="0" fillId="13" borderId="15" xfId="56" applyNumberFormat="1" applyFont="1" applyFill="1" applyBorder="1" applyAlignment="1" applyProtection="1">
      <alignment vertical="center"/>
      <protection/>
    </xf>
    <xf numFmtId="2" fontId="0" fillId="13" borderId="28" xfId="56" applyNumberFormat="1" applyFont="1" applyFill="1" applyBorder="1" applyAlignment="1" applyProtection="1">
      <alignment vertical="center"/>
      <protection/>
    </xf>
    <xf numFmtId="2" fontId="0" fillId="13" borderId="27" xfId="56" applyNumberFormat="1" applyFont="1" applyFill="1" applyBorder="1" applyAlignment="1" applyProtection="1">
      <alignment vertical="center"/>
      <protection/>
    </xf>
    <xf numFmtId="0" fontId="47" fillId="34" borderId="51" xfId="0" applyFont="1" applyFill="1" applyBorder="1" applyAlignment="1" applyProtection="1">
      <alignment horizontal="left" vertical="center"/>
      <protection locked="0"/>
    </xf>
    <xf numFmtId="0" fontId="47" fillId="34" borderId="0" xfId="56" applyFont="1" applyFill="1" applyBorder="1" applyAlignment="1" applyProtection="1">
      <alignment vertical="center" wrapText="1"/>
      <protection locked="0"/>
    </xf>
    <xf numFmtId="2" fontId="0" fillId="34" borderId="52" xfId="56" applyNumberFormat="1" applyFont="1" applyFill="1" applyBorder="1" applyAlignment="1" applyProtection="1">
      <alignment vertical="center"/>
      <protection locked="0"/>
    </xf>
    <xf numFmtId="2" fontId="0" fillId="34" borderId="21" xfId="56" applyNumberFormat="1" applyFont="1" applyFill="1" applyBorder="1" applyAlignment="1" applyProtection="1">
      <alignment vertical="center"/>
      <protection locked="0"/>
    </xf>
    <xf numFmtId="2" fontId="0" fillId="34" borderId="0" xfId="56" applyNumberFormat="1" applyFont="1" applyFill="1" applyBorder="1" applyAlignment="1" applyProtection="1">
      <alignment vertical="center"/>
      <protection locked="0"/>
    </xf>
    <xf numFmtId="2" fontId="0" fillId="34" borderId="51" xfId="56"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47" fillId="34" borderId="59" xfId="0" applyFont="1" applyFill="1" applyBorder="1" applyAlignment="1" applyProtection="1">
      <alignment horizontal="center" vertical="center" wrapText="1"/>
      <protection/>
    </xf>
    <xf numFmtId="0" fontId="47" fillId="34" borderId="26" xfId="56" applyFont="1" applyFill="1" applyBorder="1" applyAlignment="1" applyProtection="1">
      <alignment vertical="center" wrapText="1"/>
      <protection locked="0"/>
    </xf>
    <xf numFmtId="2" fontId="0" fillId="34" borderId="26" xfId="56" applyNumberFormat="1" applyFont="1" applyFill="1" applyBorder="1" applyAlignment="1" applyProtection="1">
      <alignment vertical="center"/>
      <protection locked="0"/>
    </xf>
    <xf numFmtId="2" fontId="0" fillId="34" borderId="19" xfId="56"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7" fillId="34" borderId="25" xfId="56"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6" applyNumberFormat="1" applyFont="1" applyFill="1" applyBorder="1" applyAlignment="1" applyProtection="1">
      <alignment vertical="center"/>
      <protection locked="0"/>
    </xf>
    <xf numFmtId="2" fontId="0" fillId="34" borderId="80" xfId="56" applyNumberFormat="1" applyFont="1" applyFill="1" applyBorder="1" applyAlignment="1" applyProtection="1">
      <alignment vertical="center"/>
      <protection locked="0"/>
    </xf>
    <xf numFmtId="2" fontId="47" fillId="34" borderId="31" xfId="56"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6"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47"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46"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7" fillId="34" borderId="59" xfId="56"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6"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6"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6"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6" applyFont="1" applyFill="1" applyBorder="1" applyAlignment="1" applyProtection="1">
      <alignment vertical="center" wrapText="1"/>
      <protection locked="0"/>
    </xf>
    <xf numFmtId="2" fontId="0" fillId="19" borderId="59" xfId="56" applyNumberFormat="1" applyFont="1" applyFill="1" applyBorder="1" applyAlignment="1" applyProtection="1">
      <alignment vertical="center"/>
      <protection/>
    </xf>
    <xf numFmtId="2" fontId="0" fillId="19" borderId="67" xfId="56" applyNumberFormat="1" applyFont="1" applyFill="1" applyBorder="1" applyAlignment="1" applyProtection="1">
      <alignment vertical="center"/>
      <protection/>
    </xf>
    <xf numFmtId="2" fontId="0" fillId="19" borderId="68" xfId="56" applyNumberFormat="1" applyFont="1" applyFill="1" applyBorder="1" applyAlignment="1" applyProtection="1">
      <alignment vertical="center"/>
      <protection/>
    </xf>
    <xf numFmtId="2" fontId="0" fillId="19" borderId="15" xfId="56" applyNumberFormat="1" applyFont="1" applyFill="1" applyBorder="1" applyAlignment="1" applyProtection="1">
      <alignment vertical="center"/>
      <protection/>
    </xf>
    <xf numFmtId="2" fontId="0" fillId="19" borderId="28" xfId="56" applyNumberFormat="1" applyFont="1" applyFill="1" applyBorder="1" applyAlignment="1" applyProtection="1">
      <alignment vertical="center"/>
      <protection/>
    </xf>
    <xf numFmtId="2" fontId="0" fillId="19" borderId="27" xfId="56" applyNumberFormat="1" applyFont="1" applyFill="1" applyBorder="1" applyAlignment="1" applyProtection="1">
      <alignment vertical="center"/>
      <protection/>
    </xf>
    <xf numFmtId="0" fontId="47"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47"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6" applyNumberFormat="1" applyFont="1" applyFill="1" applyBorder="1" applyAlignment="1" applyProtection="1">
      <alignment horizontal="center" vertical="center"/>
      <protection locked="0"/>
    </xf>
    <xf numFmtId="2" fontId="0" fillId="22" borderId="12" xfId="56" applyNumberFormat="1" applyFont="1" applyFill="1" applyBorder="1" applyAlignment="1" applyProtection="1">
      <alignment horizontal="center" vertical="center"/>
      <protection locked="0"/>
    </xf>
    <xf numFmtId="2" fontId="0" fillId="22" borderId="37" xfId="56" applyNumberFormat="1" applyFon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47"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7"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6" applyNumberFormat="1" applyFont="1" applyFill="1" applyBorder="1" applyAlignment="1" applyProtection="1">
      <alignment horizontal="center" vertical="center"/>
      <protection locked="0"/>
    </xf>
    <xf numFmtId="2" fontId="0" fillId="36" borderId="12" xfId="56" applyNumberFormat="1" applyFont="1" applyFill="1" applyBorder="1" applyAlignment="1" applyProtection="1">
      <alignment horizontal="center" vertical="center"/>
      <protection locked="0"/>
    </xf>
    <xf numFmtId="2" fontId="0" fillId="36" borderId="37" xfId="56"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7" fillId="34" borderId="59" xfId="56"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0" fontId="2" fillId="0" borderId="1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2"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3"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2"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6" xfId="0" applyFont="1" applyBorder="1" applyAlignment="1" applyProtection="1">
      <alignment horizontal="center" vertical="center" wrapText="1"/>
      <protection/>
    </xf>
    <xf numFmtId="0" fontId="0" fillId="33" borderId="74"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85"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2" fillId="0" borderId="72" xfId="0" applyFont="1" applyBorder="1" applyAlignment="1" applyProtection="1">
      <alignment horizontal="center" vertical="center" wrapText="1"/>
      <protection/>
    </xf>
    <xf numFmtId="0" fontId="47" fillId="34" borderId="27" xfId="0" applyFont="1" applyFill="1" applyBorder="1" applyAlignment="1" applyProtection="1">
      <alignment horizontal="right" vertical="center" wrapText="1"/>
      <protection/>
    </xf>
    <xf numFmtId="0" fontId="47"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6"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zoomScale="80" zoomScaleNormal="80" zoomScalePageLayoutView="0" workbookViewId="0" topLeftCell="A45">
      <selection activeCell="P104" sqref="P104"/>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55" t="s">
        <v>257</v>
      </c>
      <c r="E2" s="755"/>
      <c r="F2" s="755"/>
      <c r="G2" s="755"/>
      <c r="H2" s="78"/>
      <c r="I2" s="78"/>
      <c r="J2" s="82"/>
      <c r="K2" s="82"/>
      <c r="L2" s="82"/>
      <c r="M2" s="714" t="s">
        <v>340</v>
      </c>
      <c r="N2" s="83"/>
      <c r="O2" s="78"/>
      <c r="P2" s="78"/>
      <c r="Q2" s="78"/>
      <c r="AH2" s="663" t="s">
        <v>79</v>
      </c>
      <c r="AI2" s="664" t="s">
        <v>12</v>
      </c>
      <c r="AJ2" s="756" t="s">
        <v>0</v>
      </c>
      <c r="AK2" s="757"/>
      <c r="AL2" s="764" t="s">
        <v>115</v>
      </c>
      <c r="AM2" s="765"/>
      <c r="AN2" s="765" t="s">
        <v>75</v>
      </c>
      <c r="AO2" s="766"/>
      <c r="AP2" s="84"/>
      <c r="AQ2" s="84"/>
      <c r="AR2" s="84"/>
    </row>
    <row r="3" spans="2:44" ht="13.5" thickBot="1">
      <c r="B3" s="77"/>
      <c r="C3" s="77"/>
      <c r="D3" s="85"/>
      <c r="E3" s="78"/>
      <c r="F3" s="78"/>
      <c r="G3" s="78"/>
      <c r="H3" s="78"/>
      <c r="I3" s="78"/>
      <c r="J3" s="86"/>
      <c r="K3" s="86"/>
      <c r="L3" s="86"/>
      <c r="M3" s="83" t="s">
        <v>109</v>
      </c>
      <c r="N3" s="77"/>
      <c r="O3" s="78"/>
      <c r="P3" s="78"/>
      <c r="Q3" s="78"/>
      <c r="AH3" s="87" t="s">
        <v>171</v>
      </c>
      <c r="AI3" s="674" t="s">
        <v>112</v>
      </c>
      <c r="AJ3" s="88" t="s">
        <v>114</v>
      </c>
      <c r="AK3" s="89">
        <v>0</v>
      </c>
      <c r="AL3" s="88" t="s">
        <v>54</v>
      </c>
      <c r="AM3" s="89">
        <v>1</v>
      </c>
      <c r="AN3" s="677" t="s">
        <v>54</v>
      </c>
      <c r="AO3" s="90">
        <v>1</v>
      </c>
      <c r="AP3" s="84"/>
      <c r="AQ3" s="84"/>
      <c r="AR3" s="84"/>
    </row>
    <row r="4" spans="2:44" ht="13.5" thickBot="1">
      <c r="B4" s="77"/>
      <c r="C4" s="295" t="s">
        <v>5</v>
      </c>
      <c r="D4" s="296"/>
      <c r="E4" s="83"/>
      <c r="F4" s="83"/>
      <c r="G4" s="83"/>
      <c r="H4" s="83"/>
      <c r="I4" s="83"/>
      <c r="J4" s="83"/>
      <c r="K4" s="83"/>
      <c r="L4" s="78"/>
      <c r="M4" s="752" t="s">
        <v>225</v>
      </c>
      <c r="N4" s="753"/>
      <c r="O4" s="754"/>
      <c r="P4" s="353"/>
      <c r="Q4" s="77"/>
      <c r="AH4" s="96" t="s">
        <v>172</v>
      </c>
      <c r="AI4" s="134" t="s">
        <v>112</v>
      </c>
      <c r="AJ4" s="97" t="s">
        <v>54</v>
      </c>
      <c r="AK4" s="98">
        <v>1</v>
      </c>
      <c r="AL4" s="97" t="s">
        <v>54</v>
      </c>
      <c r="AM4" s="98">
        <v>1</v>
      </c>
      <c r="AN4" s="678" t="s">
        <v>54</v>
      </c>
      <c r="AO4" s="99">
        <v>1</v>
      </c>
      <c r="AP4" s="84"/>
      <c r="AQ4" s="91" t="s">
        <v>0</v>
      </c>
      <c r="AR4" s="92"/>
    </row>
    <row r="5" spans="2:44" ht="12.75">
      <c r="B5" s="77"/>
      <c r="C5" s="297"/>
      <c r="D5" s="298" t="s">
        <v>81</v>
      </c>
      <c r="E5" s="83"/>
      <c r="F5" s="777" t="s">
        <v>108</v>
      </c>
      <c r="G5" s="778"/>
      <c r="H5" s="779"/>
      <c r="I5" s="773" t="s">
        <v>341</v>
      </c>
      <c r="J5" s="774"/>
      <c r="K5" s="775"/>
      <c r="L5" s="93"/>
      <c r="M5" s="749" t="s">
        <v>233</v>
      </c>
      <c r="N5" s="750"/>
      <c r="O5" s="751"/>
      <c r="P5" s="354"/>
      <c r="Q5" s="78"/>
      <c r="AH5" s="96" t="s">
        <v>126</v>
      </c>
      <c r="AI5" s="134" t="s">
        <v>13</v>
      </c>
      <c r="AJ5" s="97" t="s">
        <v>52</v>
      </c>
      <c r="AK5" s="98">
        <v>6</v>
      </c>
      <c r="AL5" s="97" t="s">
        <v>112</v>
      </c>
      <c r="AM5" s="98" t="s">
        <v>110</v>
      </c>
      <c r="AN5" s="678" t="s">
        <v>54</v>
      </c>
      <c r="AO5" s="99">
        <v>1</v>
      </c>
      <c r="AP5" s="84"/>
      <c r="AQ5" s="94" t="s">
        <v>52</v>
      </c>
      <c r="AR5" s="95">
        <v>6</v>
      </c>
    </row>
    <row r="6" spans="2:44" ht="12.75" customHeight="1">
      <c r="B6" s="77"/>
      <c r="C6" s="299"/>
      <c r="D6" s="300" t="s">
        <v>235</v>
      </c>
      <c r="E6" s="83"/>
      <c r="F6" s="720" t="s">
        <v>107</v>
      </c>
      <c r="G6" s="721"/>
      <c r="H6" s="722"/>
      <c r="I6" s="758" t="s">
        <v>342</v>
      </c>
      <c r="J6" s="759"/>
      <c r="K6" s="760"/>
      <c r="L6" s="93"/>
      <c r="M6" s="728" t="s">
        <v>234</v>
      </c>
      <c r="N6" s="729"/>
      <c r="O6" s="730"/>
      <c r="P6" s="355"/>
      <c r="Q6" s="78"/>
      <c r="AH6" s="96" t="s">
        <v>127</v>
      </c>
      <c r="AI6" s="134" t="s">
        <v>14</v>
      </c>
      <c r="AJ6" s="97" t="s">
        <v>76</v>
      </c>
      <c r="AK6" s="98">
        <v>4</v>
      </c>
      <c r="AL6" s="97" t="s">
        <v>76</v>
      </c>
      <c r="AM6" s="98">
        <v>1.5</v>
      </c>
      <c r="AN6" s="678" t="s">
        <v>54</v>
      </c>
      <c r="AO6" s="99">
        <v>1</v>
      </c>
      <c r="AP6" s="84"/>
      <c r="AQ6" s="100" t="s">
        <v>307</v>
      </c>
      <c r="AR6" s="101">
        <v>5</v>
      </c>
    </row>
    <row r="7" spans="2:44" ht="13.5" customHeight="1">
      <c r="B7" s="77"/>
      <c r="C7" s="301"/>
      <c r="D7" s="300" t="s">
        <v>122</v>
      </c>
      <c r="E7" s="83"/>
      <c r="F7" s="720" t="s">
        <v>106</v>
      </c>
      <c r="G7" s="721"/>
      <c r="H7" s="722"/>
      <c r="I7" s="758"/>
      <c r="J7" s="759"/>
      <c r="K7" s="760"/>
      <c r="L7" s="93"/>
      <c r="M7" s="731" t="s">
        <v>226</v>
      </c>
      <c r="N7" s="732"/>
      <c r="O7" s="733"/>
      <c r="P7" s="356"/>
      <c r="Q7" s="78"/>
      <c r="AH7" s="96" t="s">
        <v>128</v>
      </c>
      <c r="AI7" s="134" t="s">
        <v>15</v>
      </c>
      <c r="AJ7" s="97" t="s">
        <v>76</v>
      </c>
      <c r="AK7" s="98">
        <v>4</v>
      </c>
      <c r="AL7" s="97" t="s">
        <v>112</v>
      </c>
      <c r="AM7" s="98" t="s">
        <v>110</v>
      </c>
      <c r="AN7" s="678" t="s">
        <v>54</v>
      </c>
      <c r="AO7" s="99">
        <v>1</v>
      </c>
      <c r="AP7" s="84"/>
      <c r="AQ7" s="100" t="s">
        <v>76</v>
      </c>
      <c r="AR7" s="101">
        <v>4</v>
      </c>
    </row>
    <row r="8" spans="2:44" ht="13.5" customHeight="1">
      <c r="B8" s="77"/>
      <c r="C8" s="302"/>
      <c r="D8" s="300" t="s">
        <v>7</v>
      </c>
      <c r="E8" s="83"/>
      <c r="F8" s="720" t="s">
        <v>300</v>
      </c>
      <c r="G8" s="721"/>
      <c r="H8" s="722"/>
      <c r="I8" s="758"/>
      <c r="J8" s="759"/>
      <c r="K8" s="760"/>
      <c r="L8" s="93"/>
      <c r="M8" s="734" t="s">
        <v>227</v>
      </c>
      <c r="N8" s="735"/>
      <c r="O8" s="736"/>
      <c r="P8" s="356"/>
      <c r="Q8" s="78"/>
      <c r="AH8" s="96" t="s">
        <v>129</v>
      </c>
      <c r="AI8" s="134" t="s">
        <v>16</v>
      </c>
      <c r="AJ8" s="97" t="s">
        <v>54</v>
      </c>
      <c r="AK8" s="98">
        <v>2</v>
      </c>
      <c r="AL8" s="97" t="s">
        <v>76</v>
      </c>
      <c r="AM8" s="98">
        <v>1.5</v>
      </c>
      <c r="AN8" s="678" t="s">
        <v>54</v>
      </c>
      <c r="AO8" s="99">
        <v>1</v>
      </c>
      <c r="AP8" s="84"/>
      <c r="AQ8" s="614" t="s">
        <v>306</v>
      </c>
      <c r="AR8" s="615">
        <v>3</v>
      </c>
    </row>
    <row r="9" spans="2:44" ht="13.5" customHeight="1" thickBot="1">
      <c r="B9" s="77"/>
      <c r="C9" s="303"/>
      <c r="D9" s="300" t="s">
        <v>73</v>
      </c>
      <c r="E9" s="83"/>
      <c r="F9" s="782" t="s">
        <v>123</v>
      </c>
      <c r="G9" s="783"/>
      <c r="H9" s="784"/>
      <c r="I9" s="767"/>
      <c r="J9" s="768"/>
      <c r="K9" s="769"/>
      <c r="L9" s="102"/>
      <c r="M9" s="737" t="s">
        <v>228</v>
      </c>
      <c r="N9" s="738"/>
      <c r="O9" s="739"/>
      <c r="P9" s="356"/>
      <c r="Q9" s="78"/>
      <c r="AH9" s="96" t="s">
        <v>130</v>
      </c>
      <c r="AI9" s="134" t="s">
        <v>17</v>
      </c>
      <c r="AJ9" s="97" t="s">
        <v>76</v>
      </c>
      <c r="AK9" s="98">
        <v>4</v>
      </c>
      <c r="AL9" s="97" t="s">
        <v>112</v>
      </c>
      <c r="AM9" s="98" t="s">
        <v>110</v>
      </c>
      <c r="AN9" s="678"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8" t="s">
        <v>54</v>
      </c>
      <c r="AO10" s="99">
        <v>1</v>
      </c>
      <c r="AP10" s="84"/>
      <c r="AQ10" s="103" t="s">
        <v>114</v>
      </c>
      <c r="AR10" s="104">
        <v>0</v>
      </c>
    </row>
    <row r="11" spans="4:65" s="105" customFormat="1" ht="13.5" thickBot="1">
      <c r="D11" s="106"/>
      <c r="E11" s="86"/>
      <c r="H11" s="86"/>
      <c r="I11" s="86"/>
      <c r="J11" s="740" t="s">
        <v>196</v>
      </c>
      <c r="K11" s="741"/>
      <c r="L11" s="741"/>
      <c r="M11" s="741"/>
      <c r="N11" s="741"/>
      <c r="O11" s="742"/>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5" t="s">
        <v>293</v>
      </c>
      <c r="D12" s="761"/>
      <c r="E12" s="716"/>
      <c r="F12" s="717" t="s">
        <v>102</v>
      </c>
      <c r="G12" s="718"/>
      <c r="H12" s="717" t="s">
        <v>103</v>
      </c>
      <c r="I12" s="718"/>
      <c r="J12" s="780" t="s">
        <v>199</v>
      </c>
      <c r="K12" s="781"/>
      <c r="L12" s="725" t="s">
        <v>301</v>
      </c>
      <c r="M12" s="725"/>
      <c r="N12" s="747" t="s">
        <v>200</v>
      </c>
      <c r="O12" s="748"/>
      <c r="P12" s="358"/>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8"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266</v>
      </c>
      <c r="F13" s="245" t="s">
        <v>0</v>
      </c>
      <c r="G13" s="246" t="s">
        <v>80</v>
      </c>
      <c r="H13" s="245" t="s">
        <v>1</v>
      </c>
      <c r="I13" s="246" t="s">
        <v>80</v>
      </c>
      <c r="J13" s="230" t="s">
        <v>72</v>
      </c>
      <c r="K13" s="231" t="s">
        <v>197</v>
      </c>
      <c r="L13" s="232" t="s">
        <v>198</v>
      </c>
      <c r="M13" s="233" t="s">
        <v>197</v>
      </c>
      <c r="N13" s="230" t="s">
        <v>198</v>
      </c>
      <c r="O13" s="233" t="s">
        <v>197</v>
      </c>
      <c r="P13" s="374" t="s">
        <v>9</v>
      </c>
      <c r="Q13" s="375"/>
      <c r="AH13" s="96" t="s">
        <v>149</v>
      </c>
      <c r="AI13" s="134" t="s">
        <v>20</v>
      </c>
      <c r="AJ13" s="97" t="s">
        <v>76</v>
      </c>
      <c r="AK13" s="98">
        <v>4</v>
      </c>
      <c r="AL13" s="97" t="s">
        <v>54</v>
      </c>
      <c r="AM13" s="98">
        <v>1</v>
      </c>
      <c r="AN13" s="678" t="s">
        <v>54</v>
      </c>
      <c r="AO13" s="99">
        <v>1</v>
      </c>
      <c r="AP13" s="84"/>
      <c r="AQ13" s="111" t="s">
        <v>70</v>
      </c>
      <c r="AR13" s="112">
        <v>3</v>
      </c>
    </row>
    <row r="14" spans="2:44" ht="26.25" thickBot="1">
      <c r="B14" s="713"/>
      <c r="C14" s="235"/>
      <c r="D14" s="236" t="s">
        <v>290</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8" t="s">
        <v>54</v>
      </c>
      <c r="AO14" s="99">
        <v>1</v>
      </c>
      <c r="AP14" s="84"/>
      <c r="AQ14" s="100" t="s">
        <v>53</v>
      </c>
      <c r="AR14" s="101">
        <v>2</v>
      </c>
    </row>
    <row r="15" spans="1:65" s="118" customFormat="1" ht="13.5" thickBot="1">
      <c r="A15" s="115"/>
      <c r="B15" s="198"/>
      <c r="C15" s="579"/>
      <c r="D15" s="580" t="s">
        <v>158</v>
      </c>
      <c r="E15" s="699">
        <v>3.22</v>
      </c>
      <c r="F15" s="702" t="str">
        <f>IF($D15&gt;0,(VLOOKUP($D15,$AH$3:$AO$50,3,FALSE)),"")</f>
        <v>Medium-Low</v>
      </c>
      <c r="G15" s="216">
        <f aca="true" t="shared" si="0" ref="G15:G44">IF($D15&gt;0,(VLOOKUP($F15,$AQ$5:$AR$10,2,FALSE)),"")</f>
        <v>3</v>
      </c>
      <c r="H15" s="154" t="s">
        <v>71</v>
      </c>
      <c r="I15" s="221">
        <f aca="true" t="shared" si="1" ref="I15:I44">IF($H15&gt;0,(VLOOKUP($H15,$AQ$13:$AR$15,2,FALSE)),"")</f>
        <v>1</v>
      </c>
      <c r="J15" s="62"/>
      <c r="K15" s="224">
        <f>IF(J15&gt;0,(J15*G15*I15),"")</f>
      </c>
      <c r="L15" s="62">
        <v>1.16</v>
      </c>
      <c r="M15" s="224">
        <f aca="true" t="shared" si="2" ref="M15:M44">IF(L15&gt;0,(L15*G15*I15),"")</f>
        <v>3.4799999999999995</v>
      </c>
      <c r="N15" s="227">
        <f>IF((E15-J15-L15)&gt;0,(E15-J15-L15),"")</f>
        <v>2.0600000000000005</v>
      </c>
      <c r="O15" s="388">
        <f>IF((D15&gt;0)*AND((E15-J15-L15)&gt;0),(N15*G15*I15),"")</f>
        <v>6.1800000000000015</v>
      </c>
      <c r="P15" s="372"/>
      <c r="Q15" s="373" t="s">
        <v>345</v>
      </c>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8"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2.75">
      <c r="B16" s="204"/>
      <c r="C16" s="581" t="str">
        <f aca="true" t="shared" si="3" ref="C16:C44">IF($D16&gt;0,(VLOOKUP($D16,$AH$3:$AO$50,2,FALSE)),"")</f>
        <v>n/a</v>
      </c>
      <c r="D16" s="582" t="s">
        <v>171</v>
      </c>
      <c r="E16" s="700">
        <v>0.11</v>
      </c>
      <c r="F16" s="698" t="str">
        <f aca="true" t="shared" si="4" ref="F16:F44">IF($D16&gt;0,(VLOOKUP($D16,$AH$3:$AO$50,3,FALSE)),"")</f>
        <v>none</v>
      </c>
      <c r="G16" s="219">
        <f t="shared" si="0"/>
        <v>0</v>
      </c>
      <c r="H16" s="217" t="s">
        <v>71</v>
      </c>
      <c r="I16" s="222">
        <f t="shared" si="1"/>
        <v>1</v>
      </c>
      <c r="J16" s="63"/>
      <c r="K16" s="225">
        <f aca="true" t="shared" si="5" ref="K16:K44">IF(J16&gt;0,(J16*G16*I16),"")</f>
      </c>
      <c r="L16" s="63"/>
      <c r="M16" s="225">
        <f t="shared" si="2"/>
      </c>
      <c r="N16" s="228">
        <f aca="true" t="shared" si="6" ref="N16:N44">IF((E16-J16-L16)&gt;0,(E16-J16-L16),"")</f>
        <v>0.11</v>
      </c>
      <c r="O16" s="387">
        <f aca="true" t="shared" si="7" ref="O16:O44">IF((D16&gt;0)*AND((E16-J16-L16)&gt;0),(N16*G16*I16),"")</f>
        <v>0</v>
      </c>
      <c r="P16" s="389"/>
      <c r="Q16" s="390"/>
      <c r="AH16" s="96" t="s">
        <v>337</v>
      </c>
      <c r="AI16" s="134" t="s">
        <v>22</v>
      </c>
      <c r="AJ16" s="97" t="s">
        <v>76</v>
      </c>
      <c r="AK16" s="98">
        <v>4</v>
      </c>
      <c r="AL16" s="97" t="s">
        <v>76</v>
      </c>
      <c r="AM16" s="98">
        <v>1.5</v>
      </c>
      <c r="AN16" s="678" t="s">
        <v>54</v>
      </c>
      <c r="AO16" s="99">
        <v>1</v>
      </c>
      <c r="AP16" s="84"/>
      <c r="AQ16" s="84"/>
      <c r="AR16" s="84"/>
    </row>
    <row r="17" spans="2:44" ht="13.5" hidden="1" thickBot="1">
      <c r="B17" s="204"/>
      <c r="C17" s="581">
        <f t="shared" si="3"/>
      </c>
      <c r="D17" s="582"/>
      <c r="E17" s="700"/>
      <c r="F17" s="698">
        <f t="shared" si="4"/>
      </c>
      <c r="G17" s="219">
        <f t="shared" si="0"/>
      </c>
      <c r="H17" s="217"/>
      <c r="I17" s="222">
        <f t="shared" si="1"/>
      </c>
      <c r="J17" s="63"/>
      <c r="K17" s="225">
        <f t="shared" si="5"/>
      </c>
      <c r="L17" s="63"/>
      <c r="M17" s="225">
        <f t="shared" si="2"/>
      </c>
      <c r="N17" s="228">
        <f t="shared" si="6"/>
      </c>
      <c r="O17" s="387">
        <f t="shared" si="7"/>
      </c>
      <c r="P17" s="389"/>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581" t="str">
        <f t="shared" si="3"/>
        <v>B4</v>
      </c>
      <c r="D18" s="582" t="s">
        <v>159</v>
      </c>
      <c r="E18" s="700">
        <v>0.37</v>
      </c>
      <c r="F18" s="698" t="str">
        <f t="shared" si="4"/>
        <v>Low</v>
      </c>
      <c r="G18" s="219">
        <f t="shared" si="0"/>
        <v>2</v>
      </c>
      <c r="H18" s="217" t="s">
        <v>71</v>
      </c>
      <c r="I18" s="222">
        <f t="shared" si="1"/>
        <v>1</v>
      </c>
      <c r="J18" s="63"/>
      <c r="K18" s="225">
        <f t="shared" si="5"/>
      </c>
      <c r="L18" s="63"/>
      <c r="M18" s="225">
        <f t="shared" si="2"/>
      </c>
      <c r="N18" s="228">
        <f t="shared" si="6"/>
        <v>0.37</v>
      </c>
      <c r="O18" s="387">
        <f t="shared" si="7"/>
        <v>0.74</v>
      </c>
      <c r="P18" s="389" t="s">
        <v>344</v>
      </c>
      <c r="Q18" s="390"/>
      <c r="AH18" s="96" t="s">
        <v>151</v>
      </c>
      <c r="AI18" s="134" t="s">
        <v>24</v>
      </c>
      <c r="AJ18" s="97" t="s">
        <v>52</v>
      </c>
      <c r="AK18" s="98">
        <v>6</v>
      </c>
      <c r="AL18" s="97" t="s">
        <v>54</v>
      </c>
      <c r="AM18" s="98">
        <v>1</v>
      </c>
      <c r="AN18" s="678" t="s">
        <v>54</v>
      </c>
      <c r="AO18" s="99">
        <v>1</v>
      </c>
      <c r="AP18" s="84"/>
      <c r="AQ18" s="111" t="s">
        <v>86</v>
      </c>
      <c r="AR18" s="112">
        <v>1.2</v>
      </c>
    </row>
    <row r="19" spans="2:44" ht="12.75">
      <c r="B19" s="204"/>
      <c r="C19" s="581" t="str">
        <f t="shared" si="3"/>
        <v>C31</v>
      </c>
      <c r="D19" s="582" t="s">
        <v>189</v>
      </c>
      <c r="E19" s="700">
        <v>0.07</v>
      </c>
      <c r="F19" s="698" t="str">
        <f t="shared" si="4"/>
        <v>Medium-Low</v>
      </c>
      <c r="G19" s="219">
        <f t="shared" si="0"/>
        <v>3</v>
      </c>
      <c r="H19" s="217" t="s">
        <v>71</v>
      </c>
      <c r="I19" s="222">
        <f t="shared" si="1"/>
        <v>1</v>
      </c>
      <c r="J19" s="63"/>
      <c r="K19" s="225">
        <f t="shared" si="5"/>
      </c>
      <c r="L19" s="63"/>
      <c r="M19" s="225">
        <f t="shared" si="2"/>
      </c>
      <c r="N19" s="228">
        <f t="shared" si="6"/>
        <v>0.07</v>
      </c>
      <c r="O19" s="387">
        <f t="shared" si="7"/>
        <v>0.21000000000000002</v>
      </c>
      <c r="P19" s="389"/>
      <c r="Q19" s="390"/>
      <c r="AH19" s="96" t="s">
        <v>152</v>
      </c>
      <c r="AI19" s="134" t="s">
        <v>25</v>
      </c>
      <c r="AJ19" s="97" t="s">
        <v>52</v>
      </c>
      <c r="AK19" s="98">
        <v>6</v>
      </c>
      <c r="AL19" s="97" t="s">
        <v>76</v>
      </c>
      <c r="AM19" s="98">
        <v>1.5</v>
      </c>
      <c r="AN19" s="678" t="s">
        <v>54</v>
      </c>
      <c r="AO19" s="99">
        <v>1</v>
      </c>
      <c r="AP19" s="84"/>
      <c r="AQ19" s="100" t="s">
        <v>87</v>
      </c>
      <c r="AR19" s="101">
        <v>1.4</v>
      </c>
    </row>
    <row r="20" spans="2:44" ht="12.75">
      <c r="B20" s="204"/>
      <c r="C20" s="581" t="str">
        <f t="shared" si="3"/>
        <v>J4</v>
      </c>
      <c r="D20" s="582" t="s">
        <v>140</v>
      </c>
      <c r="E20" s="700">
        <v>0.09</v>
      </c>
      <c r="F20" s="698" t="str">
        <f t="shared" si="4"/>
        <v>Low</v>
      </c>
      <c r="G20" s="219">
        <f t="shared" si="0"/>
        <v>2</v>
      </c>
      <c r="H20" s="217" t="s">
        <v>71</v>
      </c>
      <c r="I20" s="222">
        <f t="shared" si="1"/>
        <v>1</v>
      </c>
      <c r="J20" s="63"/>
      <c r="K20" s="225">
        <f t="shared" si="5"/>
      </c>
      <c r="L20" s="63"/>
      <c r="M20" s="225">
        <f t="shared" si="2"/>
      </c>
      <c r="N20" s="228">
        <f t="shared" si="6"/>
        <v>0.09</v>
      </c>
      <c r="O20" s="387">
        <f t="shared" si="7"/>
        <v>0.18</v>
      </c>
      <c r="P20" s="389" t="s">
        <v>347</v>
      </c>
      <c r="Q20" s="390"/>
      <c r="AH20" s="96" t="s">
        <v>153</v>
      </c>
      <c r="AI20" s="134" t="s">
        <v>26</v>
      </c>
      <c r="AJ20" s="97" t="s">
        <v>307</v>
      </c>
      <c r="AK20" s="98">
        <v>5</v>
      </c>
      <c r="AL20" s="97" t="s">
        <v>76</v>
      </c>
      <c r="AM20" s="98">
        <v>1.5</v>
      </c>
      <c r="AN20" s="678" t="s">
        <v>54</v>
      </c>
      <c r="AO20" s="99">
        <v>1</v>
      </c>
      <c r="AP20" s="84"/>
      <c r="AQ20" s="100" t="s">
        <v>88</v>
      </c>
      <c r="AR20" s="101">
        <v>1.7</v>
      </c>
    </row>
    <row r="21" spans="2:44" ht="12.75">
      <c r="B21" s="204"/>
      <c r="C21" s="581" t="str">
        <f t="shared" si="3"/>
        <v>A3</v>
      </c>
      <c r="D21" s="582" t="s">
        <v>335</v>
      </c>
      <c r="E21" s="700">
        <v>0.14</v>
      </c>
      <c r="F21" s="698" t="s">
        <v>76</v>
      </c>
      <c r="G21" s="219">
        <f t="shared" si="0"/>
        <v>4</v>
      </c>
      <c r="H21" s="217" t="s">
        <v>53</v>
      </c>
      <c r="I21" s="222">
        <f t="shared" si="1"/>
        <v>2</v>
      </c>
      <c r="J21" s="63"/>
      <c r="K21" s="225">
        <f t="shared" si="5"/>
      </c>
      <c r="L21" s="63"/>
      <c r="M21" s="225">
        <f t="shared" si="2"/>
      </c>
      <c r="N21" s="228">
        <f t="shared" si="6"/>
        <v>0.14</v>
      </c>
      <c r="O21" s="387">
        <f t="shared" si="7"/>
        <v>1.12</v>
      </c>
      <c r="P21" s="389"/>
      <c r="Q21" s="390" t="s">
        <v>346</v>
      </c>
      <c r="AH21" s="96" t="s">
        <v>154</v>
      </c>
      <c r="AI21" s="134" t="s">
        <v>27</v>
      </c>
      <c r="AJ21" s="97" t="s">
        <v>52</v>
      </c>
      <c r="AK21" s="98">
        <v>6</v>
      </c>
      <c r="AL21" s="97" t="s">
        <v>76</v>
      </c>
      <c r="AM21" s="98">
        <v>1.5</v>
      </c>
      <c r="AN21" s="678" t="s">
        <v>54</v>
      </c>
      <c r="AO21" s="99">
        <v>1</v>
      </c>
      <c r="AP21" s="84"/>
      <c r="AQ21" s="100" t="s">
        <v>89</v>
      </c>
      <c r="AR21" s="101">
        <v>2</v>
      </c>
    </row>
    <row r="22" spans="2:44" ht="12.75">
      <c r="B22" s="204"/>
      <c r="C22" s="581">
        <f t="shared" si="3"/>
      </c>
      <c r="D22" s="582"/>
      <c r="E22" s="700"/>
      <c r="F22" s="698">
        <f t="shared" si="4"/>
      </c>
      <c r="G22" s="219">
        <f t="shared" si="0"/>
      </c>
      <c r="H22" s="217"/>
      <c r="I22" s="222">
        <f t="shared" si="1"/>
      </c>
      <c r="J22" s="63"/>
      <c r="K22" s="225">
        <f t="shared" si="5"/>
      </c>
      <c r="L22" s="63"/>
      <c r="M22" s="225">
        <f t="shared" si="2"/>
      </c>
      <c r="N22" s="228">
        <f t="shared" si="6"/>
      </c>
      <c r="O22" s="387">
        <f t="shared" si="7"/>
      </c>
      <c r="P22" s="389"/>
      <c r="Q22" s="390"/>
      <c r="AH22" s="96" t="s">
        <v>155</v>
      </c>
      <c r="AI22" s="134" t="s">
        <v>28</v>
      </c>
      <c r="AJ22" s="97" t="s">
        <v>76</v>
      </c>
      <c r="AK22" s="98">
        <v>4</v>
      </c>
      <c r="AL22" s="97" t="s">
        <v>76</v>
      </c>
      <c r="AM22" s="98">
        <v>1.5</v>
      </c>
      <c r="AN22" s="678" t="s">
        <v>54</v>
      </c>
      <c r="AO22" s="99">
        <v>1</v>
      </c>
      <c r="AP22" s="84"/>
      <c r="AQ22" s="100" t="s">
        <v>90</v>
      </c>
      <c r="AR22" s="101">
        <v>2.4</v>
      </c>
    </row>
    <row r="23" spans="2:44" ht="12.75" hidden="1">
      <c r="B23" s="204"/>
      <c r="C23" s="581">
        <f t="shared" si="3"/>
      </c>
      <c r="D23" s="582"/>
      <c r="E23" s="700"/>
      <c r="F23" s="698">
        <f t="shared" si="4"/>
      </c>
      <c r="G23" s="219">
        <f t="shared" si="0"/>
      </c>
      <c r="H23" s="217"/>
      <c r="I23" s="222">
        <f t="shared" si="1"/>
      </c>
      <c r="J23" s="63"/>
      <c r="K23" s="225">
        <f t="shared" si="5"/>
      </c>
      <c r="L23" s="63"/>
      <c r="M23" s="225">
        <f t="shared" si="2"/>
      </c>
      <c r="N23" s="228">
        <f t="shared" si="6"/>
      </c>
      <c r="O23" s="387">
        <f t="shared" si="7"/>
      </c>
      <c r="P23" s="389"/>
      <c r="Q23" s="390"/>
      <c r="AH23" s="96" t="s">
        <v>156</v>
      </c>
      <c r="AI23" s="134" t="s">
        <v>29</v>
      </c>
      <c r="AJ23" s="97" t="s">
        <v>52</v>
      </c>
      <c r="AK23" s="98">
        <v>6</v>
      </c>
      <c r="AL23" s="97" t="s">
        <v>76</v>
      </c>
      <c r="AM23" s="98">
        <v>1.5</v>
      </c>
      <c r="AN23" s="678" t="s">
        <v>54</v>
      </c>
      <c r="AO23" s="99">
        <v>1</v>
      </c>
      <c r="AP23" s="84"/>
      <c r="AQ23" s="100" t="s">
        <v>91</v>
      </c>
      <c r="AR23" s="101">
        <v>2.8</v>
      </c>
    </row>
    <row r="24" spans="2:44" ht="13.5" hidden="1" thickBot="1">
      <c r="B24" s="204"/>
      <c r="C24" s="581">
        <f t="shared" si="3"/>
      </c>
      <c r="D24" s="582"/>
      <c r="E24" s="700"/>
      <c r="F24" s="698">
        <f t="shared" si="4"/>
      </c>
      <c r="G24" s="219">
        <f t="shared" si="0"/>
      </c>
      <c r="H24" s="217"/>
      <c r="I24" s="222">
        <f t="shared" si="1"/>
      </c>
      <c r="J24" s="63"/>
      <c r="K24" s="225">
        <f t="shared" si="5"/>
      </c>
      <c r="L24" s="63"/>
      <c r="M24" s="225">
        <f t="shared" si="2"/>
      </c>
      <c r="N24" s="228">
        <f t="shared" si="6"/>
      </c>
      <c r="O24" s="387">
        <f t="shared" si="7"/>
      </c>
      <c r="P24" s="389"/>
      <c r="Q24" s="390"/>
      <c r="AH24" s="96" t="s">
        <v>157</v>
      </c>
      <c r="AI24" s="134" t="s">
        <v>30</v>
      </c>
      <c r="AJ24" s="97" t="s">
        <v>307</v>
      </c>
      <c r="AK24" s="98">
        <v>5</v>
      </c>
      <c r="AL24" s="97" t="s">
        <v>76</v>
      </c>
      <c r="AM24" s="98">
        <v>1.5</v>
      </c>
      <c r="AN24" s="678" t="s">
        <v>54</v>
      </c>
      <c r="AO24" s="99">
        <v>1</v>
      </c>
      <c r="AP24" s="84"/>
      <c r="AQ24" s="103" t="s">
        <v>92</v>
      </c>
      <c r="AR24" s="104">
        <v>3</v>
      </c>
    </row>
    <row r="25" spans="2:44" ht="13.5" hidden="1" thickBot="1">
      <c r="B25" s="204"/>
      <c r="C25" s="581">
        <f t="shared" si="3"/>
      </c>
      <c r="D25" s="582"/>
      <c r="E25" s="700"/>
      <c r="F25" s="698">
        <f t="shared" si="4"/>
      </c>
      <c r="G25" s="219">
        <f t="shared" si="0"/>
      </c>
      <c r="H25" s="217"/>
      <c r="I25" s="222">
        <f t="shared" si="1"/>
      </c>
      <c r="J25" s="63"/>
      <c r="K25" s="225">
        <f t="shared" si="5"/>
      </c>
      <c r="L25" s="63"/>
      <c r="M25" s="225">
        <f t="shared" si="2"/>
      </c>
      <c r="N25" s="228">
        <f t="shared" si="6"/>
      </c>
      <c r="O25" s="387">
        <f t="shared" si="7"/>
      </c>
      <c r="P25" s="389"/>
      <c r="Q25" s="390"/>
      <c r="AH25" s="96" t="s">
        <v>158</v>
      </c>
      <c r="AI25" s="134" t="s">
        <v>33</v>
      </c>
      <c r="AJ25" s="97" t="s">
        <v>306</v>
      </c>
      <c r="AK25" s="98">
        <v>3</v>
      </c>
      <c r="AL25" s="97" t="s">
        <v>76</v>
      </c>
      <c r="AM25" s="98">
        <v>1.5</v>
      </c>
      <c r="AN25" s="678" t="s">
        <v>54</v>
      </c>
      <c r="AO25" s="99">
        <v>1</v>
      </c>
      <c r="AP25" s="84"/>
      <c r="AQ25" s="84"/>
      <c r="AR25" s="84"/>
    </row>
    <row r="26" spans="2:44" ht="13.5" hidden="1" thickBot="1">
      <c r="B26" s="204"/>
      <c r="C26" s="581">
        <f t="shared" si="3"/>
      </c>
      <c r="D26" s="582"/>
      <c r="E26" s="700"/>
      <c r="F26" s="698">
        <f t="shared" si="4"/>
      </c>
      <c r="G26" s="219">
        <f t="shared" si="0"/>
      </c>
      <c r="H26" s="217"/>
      <c r="I26" s="222">
        <f t="shared" si="1"/>
      </c>
      <c r="J26" s="63"/>
      <c r="K26" s="225">
        <f t="shared" si="5"/>
      </c>
      <c r="L26" s="63"/>
      <c r="M26" s="225">
        <f t="shared" si="2"/>
      </c>
      <c r="N26" s="228">
        <f t="shared" si="6"/>
      </c>
      <c r="O26" s="387">
        <f t="shared" si="7"/>
      </c>
      <c r="P26" s="389"/>
      <c r="Q26" s="390"/>
      <c r="AH26" s="96" t="s">
        <v>159</v>
      </c>
      <c r="AI26" s="134" t="s">
        <v>31</v>
      </c>
      <c r="AJ26" s="97" t="s">
        <v>54</v>
      </c>
      <c r="AK26" s="98">
        <v>2</v>
      </c>
      <c r="AL26" s="97" t="s">
        <v>112</v>
      </c>
      <c r="AM26" s="98" t="s">
        <v>110</v>
      </c>
      <c r="AN26" s="678" t="s">
        <v>54</v>
      </c>
      <c r="AO26" s="99">
        <v>1</v>
      </c>
      <c r="AP26" s="84"/>
      <c r="AQ26" s="108" t="s">
        <v>78</v>
      </c>
      <c r="AR26" s="109"/>
    </row>
    <row r="27" spans="2:44" ht="12.75" hidden="1">
      <c r="B27" s="204"/>
      <c r="C27" s="581">
        <f t="shared" si="3"/>
      </c>
      <c r="D27" s="582"/>
      <c r="E27" s="700"/>
      <c r="F27" s="698">
        <f t="shared" si="4"/>
      </c>
      <c r="G27" s="219">
        <f t="shared" si="0"/>
      </c>
      <c r="H27" s="217"/>
      <c r="I27" s="222">
        <f t="shared" si="1"/>
      </c>
      <c r="J27" s="63"/>
      <c r="K27" s="225">
        <f t="shared" si="5"/>
      </c>
      <c r="L27" s="63"/>
      <c r="M27" s="225">
        <f t="shared" si="2"/>
      </c>
      <c r="N27" s="228">
        <f t="shared" si="6"/>
      </c>
      <c r="O27" s="387">
        <f t="shared" si="7"/>
      </c>
      <c r="P27" s="389"/>
      <c r="Q27" s="390"/>
      <c r="AH27" s="96" t="s">
        <v>162</v>
      </c>
      <c r="AI27" s="134" t="s">
        <v>32</v>
      </c>
      <c r="AJ27" s="97" t="s">
        <v>52</v>
      </c>
      <c r="AK27" s="98">
        <v>6</v>
      </c>
      <c r="AL27" s="97" t="s">
        <v>52</v>
      </c>
      <c r="AM27" s="98">
        <v>3</v>
      </c>
      <c r="AN27" s="678" t="s">
        <v>76</v>
      </c>
      <c r="AO27" s="99">
        <v>1.5</v>
      </c>
      <c r="AP27" s="84"/>
      <c r="AQ27" s="111" t="s">
        <v>255</v>
      </c>
      <c r="AR27" s="112">
        <v>10</v>
      </c>
    </row>
    <row r="28" spans="2:44" ht="12.75" hidden="1">
      <c r="B28" s="204"/>
      <c r="C28" s="581">
        <f t="shared" si="3"/>
      </c>
      <c r="D28" s="582"/>
      <c r="E28" s="700"/>
      <c r="F28" s="698">
        <f t="shared" si="4"/>
      </c>
      <c r="G28" s="219">
        <f t="shared" si="0"/>
      </c>
      <c r="H28" s="217"/>
      <c r="I28" s="222">
        <f t="shared" si="1"/>
      </c>
      <c r="J28" s="63"/>
      <c r="K28" s="225">
        <f t="shared" si="5"/>
      </c>
      <c r="L28" s="63"/>
      <c r="M28" s="225">
        <f t="shared" si="2"/>
      </c>
      <c r="N28" s="228">
        <f t="shared" si="6"/>
      </c>
      <c r="O28" s="387">
        <f t="shared" si="7"/>
      </c>
      <c r="P28" s="389"/>
      <c r="Q28" s="390"/>
      <c r="AH28" s="96" t="s">
        <v>210</v>
      </c>
      <c r="AI28" s="134" t="s">
        <v>37</v>
      </c>
      <c r="AJ28" s="97" t="s">
        <v>52</v>
      </c>
      <c r="AK28" s="98">
        <v>6</v>
      </c>
      <c r="AL28" s="97" t="s">
        <v>76</v>
      </c>
      <c r="AM28" s="98">
        <v>1.5</v>
      </c>
      <c r="AN28" s="678" t="s">
        <v>76</v>
      </c>
      <c r="AO28" s="99">
        <v>1.5</v>
      </c>
      <c r="AP28" s="84"/>
      <c r="AQ28" s="100" t="s">
        <v>52</v>
      </c>
      <c r="AR28" s="101">
        <v>3</v>
      </c>
    </row>
    <row r="29" spans="2:44" ht="12.75" hidden="1">
      <c r="B29" s="204"/>
      <c r="C29" s="581">
        <f t="shared" si="3"/>
      </c>
      <c r="D29" s="582"/>
      <c r="E29" s="700"/>
      <c r="F29" s="698">
        <f t="shared" si="4"/>
      </c>
      <c r="G29" s="219">
        <f t="shared" si="0"/>
      </c>
      <c r="H29" s="217"/>
      <c r="I29" s="222">
        <f t="shared" si="1"/>
      </c>
      <c r="J29" s="63"/>
      <c r="K29" s="225">
        <f t="shared" si="5"/>
      </c>
      <c r="L29" s="63"/>
      <c r="M29" s="225">
        <f t="shared" si="2"/>
      </c>
      <c r="N29" s="228">
        <f t="shared" si="6"/>
      </c>
      <c r="O29" s="387">
        <f t="shared" si="7"/>
      </c>
      <c r="P29" s="389"/>
      <c r="Q29" s="390"/>
      <c r="AH29" s="96" t="s">
        <v>161</v>
      </c>
      <c r="AI29" s="134" t="s">
        <v>50</v>
      </c>
      <c r="AJ29" s="97" t="s">
        <v>52</v>
      </c>
      <c r="AK29" s="98">
        <v>6</v>
      </c>
      <c r="AL29" s="97" t="s">
        <v>54</v>
      </c>
      <c r="AM29" s="98">
        <v>1</v>
      </c>
      <c r="AN29" s="97" t="s">
        <v>54</v>
      </c>
      <c r="AO29" s="98">
        <v>1</v>
      </c>
      <c r="AP29" s="84"/>
      <c r="AQ29" s="100" t="s">
        <v>76</v>
      </c>
      <c r="AR29" s="101">
        <v>1.5</v>
      </c>
    </row>
    <row r="30" spans="2:44" ht="12.75" hidden="1">
      <c r="B30" s="204"/>
      <c r="C30" s="581">
        <f t="shared" si="3"/>
      </c>
      <c r="D30" s="582"/>
      <c r="E30" s="700"/>
      <c r="F30" s="698">
        <f t="shared" si="4"/>
      </c>
      <c r="G30" s="219">
        <f t="shared" si="0"/>
      </c>
      <c r="H30" s="217"/>
      <c r="I30" s="222">
        <f t="shared" si="1"/>
      </c>
      <c r="J30" s="63"/>
      <c r="K30" s="225">
        <f t="shared" si="5"/>
      </c>
      <c r="L30" s="63"/>
      <c r="M30" s="225">
        <f t="shared" si="2"/>
      </c>
      <c r="N30" s="228">
        <f t="shared" si="6"/>
      </c>
      <c r="O30" s="387">
        <f t="shared" si="7"/>
      </c>
      <c r="P30" s="389"/>
      <c r="Q30" s="390"/>
      <c r="AH30" s="96" t="s">
        <v>160</v>
      </c>
      <c r="AI30" s="134" t="s">
        <v>51</v>
      </c>
      <c r="AJ30" s="97" t="s">
        <v>54</v>
      </c>
      <c r="AK30" s="98">
        <v>2</v>
      </c>
      <c r="AL30" s="97" t="s">
        <v>54</v>
      </c>
      <c r="AM30" s="98">
        <v>1</v>
      </c>
      <c r="AN30" s="97" t="s">
        <v>54</v>
      </c>
      <c r="AO30" s="98">
        <v>1</v>
      </c>
      <c r="AP30" s="84"/>
      <c r="AQ30" s="100" t="s">
        <v>54</v>
      </c>
      <c r="AR30" s="101">
        <v>1</v>
      </c>
    </row>
    <row r="31" spans="2:44" ht="13.5" hidden="1" thickBot="1">
      <c r="B31" s="204"/>
      <c r="C31" s="581">
        <f t="shared" si="3"/>
      </c>
      <c r="D31" s="582"/>
      <c r="E31" s="700"/>
      <c r="F31" s="698">
        <f t="shared" si="4"/>
      </c>
      <c r="G31" s="219">
        <f t="shared" si="0"/>
      </c>
      <c r="H31" s="217"/>
      <c r="I31" s="222">
        <f t="shared" si="1"/>
      </c>
      <c r="J31" s="63"/>
      <c r="K31" s="225">
        <f t="shared" si="5"/>
      </c>
      <c r="L31" s="63"/>
      <c r="M31" s="225">
        <f t="shared" si="2"/>
      </c>
      <c r="N31" s="228">
        <f t="shared" si="6"/>
      </c>
      <c r="O31" s="387">
        <f t="shared" si="7"/>
      </c>
      <c r="P31" s="389"/>
      <c r="Q31" s="390"/>
      <c r="AH31" s="96" t="s">
        <v>168</v>
      </c>
      <c r="AI31" s="134" t="s">
        <v>43</v>
      </c>
      <c r="AJ31" s="97" t="s">
        <v>52</v>
      </c>
      <c r="AK31" s="98">
        <v>6</v>
      </c>
      <c r="AL31" s="97" t="s">
        <v>76</v>
      </c>
      <c r="AM31" s="98">
        <v>1.5</v>
      </c>
      <c r="AN31" s="678" t="s">
        <v>76</v>
      </c>
      <c r="AO31" s="99">
        <v>1.5</v>
      </c>
      <c r="AP31" s="84"/>
      <c r="AQ31" s="103" t="s">
        <v>112</v>
      </c>
      <c r="AR31" s="104">
        <v>0</v>
      </c>
    </row>
    <row r="32" spans="2:42" ht="12.75" hidden="1">
      <c r="B32" s="204"/>
      <c r="C32" s="581">
        <f t="shared" si="3"/>
      </c>
      <c r="D32" s="582"/>
      <c r="E32" s="700"/>
      <c r="F32" s="698">
        <f t="shared" si="4"/>
      </c>
      <c r="G32" s="219">
        <f t="shared" si="0"/>
      </c>
      <c r="H32" s="217"/>
      <c r="I32" s="222">
        <f t="shared" si="1"/>
      </c>
      <c r="J32" s="63"/>
      <c r="K32" s="225">
        <f t="shared" si="5"/>
      </c>
      <c r="L32" s="63"/>
      <c r="M32" s="225">
        <f t="shared" si="2"/>
      </c>
      <c r="N32" s="228">
        <f t="shared" si="6"/>
      </c>
      <c r="O32" s="387">
        <f t="shared" si="7"/>
      </c>
      <c r="P32" s="389"/>
      <c r="Q32" s="390"/>
      <c r="AH32" s="96" t="s">
        <v>169</v>
      </c>
      <c r="AI32" s="134" t="s">
        <v>44</v>
      </c>
      <c r="AJ32" s="97" t="s">
        <v>52</v>
      </c>
      <c r="AK32" s="98">
        <v>6</v>
      </c>
      <c r="AL32" s="97" t="s">
        <v>76</v>
      </c>
      <c r="AM32" s="98">
        <v>1.5</v>
      </c>
      <c r="AN32" s="678" t="s">
        <v>76</v>
      </c>
      <c r="AO32" s="99">
        <v>1.5</v>
      </c>
      <c r="AP32" s="84"/>
    </row>
    <row r="33" spans="2:42" ht="12.75" hidden="1">
      <c r="B33" s="204"/>
      <c r="C33" s="581">
        <f t="shared" si="3"/>
      </c>
      <c r="D33" s="582"/>
      <c r="E33" s="700"/>
      <c r="F33" s="698">
        <f t="shared" si="4"/>
      </c>
      <c r="G33" s="219">
        <f t="shared" si="0"/>
      </c>
      <c r="H33" s="217"/>
      <c r="I33" s="222">
        <f t="shared" si="1"/>
      </c>
      <c r="J33" s="63"/>
      <c r="K33" s="225">
        <f t="shared" si="5"/>
      </c>
      <c r="L33" s="63"/>
      <c r="M33" s="225">
        <f t="shared" si="2"/>
      </c>
      <c r="N33" s="228">
        <f t="shared" si="6"/>
      </c>
      <c r="O33" s="387">
        <f t="shared" si="7"/>
      </c>
      <c r="P33" s="389"/>
      <c r="Q33" s="390"/>
      <c r="AH33" s="96" t="s">
        <v>170</v>
      </c>
      <c r="AI33" s="134" t="s">
        <v>112</v>
      </c>
      <c r="AJ33" s="97" t="s">
        <v>52</v>
      </c>
      <c r="AK33" s="98">
        <v>6</v>
      </c>
      <c r="AL33" s="97" t="s">
        <v>124</v>
      </c>
      <c r="AM33" s="98">
        <v>1</v>
      </c>
      <c r="AN33" s="97" t="s">
        <v>124</v>
      </c>
      <c r="AO33" s="98">
        <v>1</v>
      </c>
      <c r="AP33" s="84"/>
    </row>
    <row r="34" spans="2:42" ht="12.75" hidden="1">
      <c r="B34" s="204"/>
      <c r="C34" s="581">
        <f t="shared" si="3"/>
      </c>
      <c r="D34" s="582"/>
      <c r="E34" s="700"/>
      <c r="F34" s="698">
        <f t="shared" si="4"/>
      </c>
      <c r="G34" s="219">
        <f t="shared" si="0"/>
      </c>
      <c r="H34" s="217"/>
      <c r="I34" s="222">
        <f t="shared" si="1"/>
      </c>
      <c r="J34" s="63"/>
      <c r="K34" s="225">
        <f t="shared" si="5"/>
      </c>
      <c r="L34" s="63"/>
      <c r="M34" s="225">
        <f t="shared" si="2"/>
      </c>
      <c r="N34" s="228">
        <f t="shared" si="6"/>
      </c>
      <c r="O34" s="387">
        <f t="shared" si="7"/>
      </c>
      <c r="P34" s="389"/>
      <c r="Q34" s="390"/>
      <c r="AH34" s="96" t="s">
        <v>163</v>
      </c>
      <c r="AI34" s="134" t="s">
        <v>38</v>
      </c>
      <c r="AJ34" s="97" t="s">
        <v>52</v>
      </c>
      <c r="AK34" s="98">
        <v>6</v>
      </c>
      <c r="AL34" s="97" t="s">
        <v>77</v>
      </c>
      <c r="AM34" s="98">
        <v>10</v>
      </c>
      <c r="AN34" s="678" t="s">
        <v>52</v>
      </c>
      <c r="AO34" s="99">
        <v>3</v>
      </c>
      <c r="AP34" s="84"/>
    </row>
    <row r="35" spans="2:42" ht="12.75" hidden="1">
      <c r="B35" s="204"/>
      <c r="C35" s="581">
        <f t="shared" si="3"/>
      </c>
      <c r="D35" s="582"/>
      <c r="E35" s="700"/>
      <c r="F35" s="698">
        <f t="shared" si="4"/>
      </c>
      <c r="G35" s="219">
        <f t="shared" si="0"/>
      </c>
      <c r="H35" s="217"/>
      <c r="I35" s="222">
        <f t="shared" si="1"/>
      </c>
      <c r="J35" s="63"/>
      <c r="K35" s="225">
        <f t="shared" si="5"/>
      </c>
      <c r="L35" s="63"/>
      <c r="M35" s="225">
        <f t="shared" si="2"/>
      </c>
      <c r="N35" s="228">
        <f t="shared" si="6"/>
      </c>
      <c r="O35" s="387">
        <f t="shared" si="7"/>
      </c>
      <c r="P35" s="389"/>
      <c r="Q35" s="390"/>
      <c r="AH35" s="96" t="s">
        <v>164</v>
      </c>
      <c r="AI35" s="134" t="s">
        <v>39</v>
      </c>
      <c r="AJ35" s="97" t="s">
        <v>52</v>
      </c>
      <c r="AK35" s="98">
        <v>6</v>
      </c>
      <c r="AL35" s="97" t="s">
        <v>52</v>
      </c>
      <c r="AM35" s="98">
        <v>3</v>
      </c>
      <c r="AN35" s="678" t="s">
        <v>76</v>
      </c>
      <c r="AO35" s="99">
        <v>1.5</v>
      </c>
      <c r="AP35" s="84"/>
    </row>
    <row r="36" spans="2:42" ht="12.75" hidden="1">
      <c r="B36" s="204"/>
      <c r="C36" s="581">
        <f t="shared" si="3"/>
      </c>
      <c r="D36" s="582"/>
      <c r="E36" s="700"/>
      <c r="F36" s="698">
        <f t="shared" si="4"/>
      </c>
      <c r="G36" s="219">
        <f t="shared" si="0"/>
      </c>
      <c r="H36" s="217"/>
      <c r="I36" s="222">
        <f t="shared" si="1"/>
      </c>
      <c r="J36" s="63"/>
      <c r="K36" s="225">
        <f t="shared" si="5"/>
      </c>
      <c r="L36" s="63"/>
      <c r="M36" s="225">
        <f t="shared" si="2"/>
      </c>
      <c r="N36" s="228">
        <f t="shared" si="6"/>
      </c>
      <c r="O36" s="387">
        <f>IF((D36&gt;0)*AND((E36-J36-L36)&gt;0),(N36*G36*I36),"")</f>
      </c>
      <c r="P36" s="389"/>
      <c r="Q36" s="390"/>
      <c r="AH36" s="96" t="s">
        <v>165</v>
      </c>
      <c r="AI36" s="134" t="s">
        <v>40</v>
      </c>
      <c r="AJ36" s="97" t="s">
        <v>52</v>
      </c>
      <c r="AK36" s="98">
        <v>6</v>
      </c>
      <c r="AL36" s="97" t="s">
        <v>52</v>
      </c>
      <c r="AM36" s="98">
        <v>3</v>
      </c>
      <c r="AN36" s="678" t="s">
        <v>76</v>
      </c>
      <c r="AO36" s="99">
        <v>1.5</v>
      </c>
      <c r="AP36" s="84"/>
    </row>
    <row r="37" spans="2:42" ht="12.75" hidden="1">
      <c r="B37" s="204"/>
      <c r="C37" s="581">
        <f t="shared" si="3"/>
      </c>
      <c r="D37" s="582"/>
      <c r="E37" s="700"/>
      <c r="F37" s="698">
        <f t="shared" si="4"/>
      </c>
      <c r="G37" s="219">
        <f t="shared" si="0"/>
      </c>
      <c r="H37" s="217"/>
      <c r="I37" s="222">
        <f t="shared" si="1"/>
      </c>
      <c r="J37" s="63"/>
      <c r="K37" s="225">
        <f t="shared" si="5"/>
      </c>
      <c r="L37" s="63"/>
      <c r="M37" s="225">
        <f t="shared" si="2"/>
      </c>
      <c r="N37" s="228">
        <f t="shared" si="6"/>
      </c>
      <c r="O37" s="387">
        <f t="shared" si="7"/>
      </c>
      <c r="P37" s="389"/>
      <c r="Q37" s="390"/>
      <c r="AH37" s="96" t="s">
        <v>166</v>
      </c>
      <c r="AI37" s="134" t="s">
        <v>41</v>
      </c>
      <c r="AJ37" s="97" t="s">
        <v>52</v>
      </c>
      <c r="AK37" s="98">
        <v>6</v>
      </c>
      <c r="AL37" s="97" t="s">
        <v>52</v>
      </c>
      <c r="AM37" s="98">
        <v>3</v>
      </c>
      <c r="AN37" s="678" t="s">
        <v>76</v>
      </c>
      <c r="AO37" s="99">
        <v>1.5</v>
      </c>
      <c r="AP37" s="84"/>
    </row>
    <row r="38" spans="2:44" ht="12.75" hidden="1">
      <c r="B38" s="204"/>
      <c r="C38" s="581">
        <f t="shared" si="3"/>
      </c>
      <c r="D38" s="582"/>
      <c r="E38" s="700"/>
      <c r="F38" s="698">
        <f t="shared" si="4"/>
      </c>
      <c r="G38" s="219">
        <f t="shared" si="0"/>
      </c>
      <c r="H38" s="217"/>
      <c r="I38" s="222">
        <f t="shared" si="1"/>
      </c>
      <c r="J38" s="63"/>
      <c r="K38" s="225">
        <f t="shared" si="5"/>
      </c>
      <c r="L38" s="63"/>
      <c r="M38" s="225">
        <f t="shared" si="2"/>
      </c>
      <c r="N38" s="228">
        <f t="shared" si="6"/>
      </c>
      <c r="O38" s="387">
        <f t="shared" si="7"/>
      </c>
      <c r="P38" s="389"/>
      <c r="Q38" s="390"/>
      <c r="AH38" s="96" t="s">
        <v>167</v>
      </c>
      <c r="AI38" s="134" t="s">
        <v>42</v>
      </c>
      <c r="AJ38" s="97" t="s">
        <v>52</v>
      </c>
      <c r="AK38" s="98">
        <v>6</v>
      </c>
      <c r="AL38" s="97" t="s">
        <v>54</v>
      </c>
      <c r="AM38" s="98">
        <v>1</v>
      </c>
      <c r="AN38" s="678" t="s">
        <v>54</v>
      </c>
      <c r="AO38" s="99">
        <v>1</v>
      </c>
      <c r="AP38" s="84"/>
      <c r="AQ38" s="84"/>
      <c r="AR38" s="84"/>
    </row>
    <row r="39" spans="2:44" ht="12.75" hidden="1">
      <c r="B39" s="204"/>
      <c r="C39" s="581">
        <f t="shared" si="3"/>
      </c>
      <c r="D39" s="582"/>
      <c r="E39" s="700"/>
      <c r="F39" s="698">
        <f t="shared" si="4"/>
      </c>
      <c r="G39" s="219">
        <f t="shared" si="0"/>
      </c>
      <c r="H39" s="217"/>
      <c r="I39" s="222">
        <f t="shared" si="1"/>
      </c>
      <c r="J39" s="63"/>
      <c r="K39" s="225">
        <f t="shared" si="5"/>
      </c>
      <c r="L39" s="63"/>
      <c r="M39" s="225">
        <f t="shared" si="2"/>
      </c>
      <c r="N39" s="228">
        <f t="shared" si="6"/>
      </c>
      <c r="O39" s="387">
        <f t="shared" si="7"/>
      </c>
      <c r="P39" s="389"/>
      <c r="Q39" s="390"/>
      <c r="AH39" s="96" t="s">
        <v>136</v>
      </c>
      <c r="AI39" s="134" t="s">
        <v>48</v>
      </c>
      <c r="AJ39" s="97" t="s">
        <v>54</v>
      </c>
      <c r="AK39" s="98">
        <v>2</v>
      </c>
      <c r="AL39" s="97" t="s">
        <v>112</v>
      </c>
      <c r="AM39" s="98" t="s">
        <v>110</v>
      </c>
      <c r="AN39" s="97" t="s">
        <v>112</v>
      </c>
      <c r="AO39" s="98" t="s">
        <v>110</v>
      </c>
      <c r="AP39" s="84"/>
      <c r="AQ39" s="84"/>
      <c r="AR39" s="84"/>
    </row>
    <row r="40" spans="2:44" ht="12.75" hidden="1">
      <c r="B40" s="204"/>
      <c r="C40" s="581">
        <f t="shared" si="3"/>
      </c>
      <c r="D40" s="582"/>
      <c r="E40" s="700"/>
      <c r="F40" s="698">
        <f t="shared" si="4"/>
      </c>
      <c r="G40" s="219">
        <f t="shared" si="0"/>
      </c>
      <c r="H40" s="217"/>
      <c r="I40" s="222">
        <f t="shared" si="1"/>
      </c>
      <c r="J40" s="63"/>
      <c r="K40" s="225">
        <f t="shared" si="5"/>
      </c>
      <c r="L40" s="63"/>
      <c r="M40" s="225">
        <f t="shared" si="2"/>
      </c>
      <c r="N40" s="228">
        <f t="shared" si="6"/>
      </c>
      <c r="O40" s="387">
        <f t="shared" si="7"/>
      </c>
      <c r="P40" s="389"/>
      <c r="Q40" s="390"/>
      <c r="AH40" s="96" t="s">
        <v>188</v>
      </c>
      <c r="AI40" s="134" t="s">
        <v>34</v>
      </c>
      <c r="AJ40" s="97" t="s">
        <v>54</v>
      </c>
      <c r="AK40" s="98">
        <v>2</v>
      </c>
      <c r="AL40" s="97" t="s">
        <v>54</v>
      </c>
      <c r="AM40" s="98">
        <v>1</v>
      </c>
      <c r="AN40" s="678" t="s">
        <v>54</v>
      </c>
      <c r="AO40" s="99">
        <v>1</v>
      </c>
      <c r="AP40" s="84"/>
      <c r="AQ40" s="84"/>
      <c r="AR40" s="84"/>
    </row>
    <row r="41" spans="2:44" ht="12.75" hidden="1">
      <c r="B41" s="204"/>
      <c r="C41" s="581">
        <f t="shared" si="3"/>
      </c>
      <c r="D41" s="582"/>
      <c r="E41" s="700"/>
      <c r="F41" s="698">
        <f t="shared" si="4"/>
      </c>
      <c r="G41" s="219">
        <f t="shared" si="0"/>
      </c>
      <c r="H41" s="217"/>
      <c r="I41" s="222">
        <f t="shared" si="1"/>
      </c>
      <c r="J41" s="63"/>
      <c r="K41" s="225">
        <f t="shared" si="5"/>
      </c>
      <c r="L41" s="63"/>
      <c r="M41" s="225">
        <f t="shared" si="2"/>
      </c>
      <c r="N41" s="228">
        <f t="shared" si="6"/>
      </c>
      <c r="O41" s="387">
        <f t="shared" si="7"/>
      </c>
      <c r="P41" s="389"/>
      <c r="Q41" s="390"/>
      <c r="AH41" s="96" t="s">
        <v>189</v>
      </c>
      <c r="AI41" s="134" t="s">
        <v>35</v>
      </c>
      <c r="AJ41" s="97" t="s">
        <v>306</v>
      </c>
      <c r="AK41" s="98">
        <v>3</v>
      </c>
      <c r="AL41" s="97" t="s">
        <v>54</v>
      </c>
      <c r="AM41" s="98">
        <v>1</v>
      </c>
      <c r="AN41" s="678" t="s">
        <v>54</v>
      </c>
      <c r="AO41" s="99">
        <v>1</v>
      </c>
      <c r="AP41" s="84"/>
      <c r="AQ41" s="84"/>
      <c r="AR41" s="84"/>
    </row>
    <row r="42" spans="2:44" ht="12.75" hidden="1">
      <c r="B42" s="204"/>
      <c r="C42" s="581">
        <f t="shared" si="3"/>
      </c>
      <c r="D42" s="582"/>
      <c r="E42" s="700"/>
      <c r="F42" s="698">
        <f t="shared" si="4"/>
      </c>
      <c r="G42" s="219">
        <f t="shared" si="0"/>
      </c>
      <c r="H42" s="217"/>
      <c r="I42" s="222">
        <f t="shared" si="1"/>
      </c>
      <c r="J42" s="63"/>
      <c r="K42" s="225">
        <f t="shared" si="5"/>
      </c>
      <c r="L42" s="63"/>
      <c r="M42" s="225">
        <f t="shared" si="2"/>
      </c>
      <c r="N42" s="228">
        <f t="shared" si="6"/>
      </c>
      <c r="O42" s="387">
        <f t="shared" si="7"/>
      </c>
      <c r="P42" s="389"/>
      <c r="Q42" s="390"/>
      <c r="AH42" s="96" t="s">
        <v>190</v>
      </c>
      <c r="AI42" s="134" t="s">
        <v>36</v>
      </c>
      <c r="AJ42" s="97" t="s">
        <v>76</v>
      </c>
      <c r="AK42" s="98">
        <v>4</v>
      </c>
      <c r="AL42" s="97" t="s">
        <v>54</v>
      </c>
      <c r="AM42" s="98">
        <v>1</v>
      </c>
      <c r="AN42" s="678" t="s">
        <v>54</v>
      </c>
      <c r="AO42" s="99">
        <v>1</v>
      </c>
      <c r="AP42" s="84"/>
      <c r="AQ42" s="84"/>
      <c r="AR42" s="84"/>
    </row>
    <row r="43" spans="2:44" ht="12.75" hidden="1">
      <c r="B43" s="204"/>
      <c r="C43" s="581">
        <f t="shared" si="3"/>
      </c>
      <c r="D43" s="582"/>
      <c r="E43" s="700"/>
      <c r="F43" s="698">
        <f t="shared" si="4"/>
      </c>
      <c r="G43" s="219">
        <f t="shared" si="0"/>
      </c>
      <c r="H43" s="217"/>
      <c r="I43" s="222">
        <f t="shared" si="1"/>
      </c>
      <c r="J43" s="63"/>
      <c r="K43" s="225">
        <f t="shared" si="5"/>
      </c>
      <c r="L43" s="63"/>
      <c r="M43" s="225">
        <f t="shared" si="2"/>
      </c>
      <c r="N43" s="228">
        <f t="shared" si="6"/>
      </c>
      <c r="O43" s="387">
        <f t="shared" si="7"/>
      </c>
      <c r="P43" s="389"/>
      <c r="Q43" s="390"/>
      <c r="AH43" s="96" t="s">
        <v>138</v>
      </c>
      <c r="AI43" s="134" t="s">
        <v>55</v>
      </c>
      <c r="AJ43" s="97" t="s">
        <v>54</v>
      </c>
      <c r="AK43" s="98">
        <v>2</v>
      </c>
      <c r="AL43" s="97" t="s">
        <v>54</v>
      </c>
      <c r="AM43" s="98">
        <v>1</v>
      </c>
      <c r="AN43" s="97" t="s">
        <v>54</v>
      </c>
      <c r="AO43" s="98">
        <v>1</v>
      </c>
      <c r="AP43" s="84"/>
      <c r="AQ43" s="84"/>
      <c r="AR43" s="84"/>
    </row>
    <row r="44" spans="2:44" ht="13.5" hidden="1" thickBot="1">
      <c r="B44" s="555"/>
      <c r="C44" s="583">
        <f t="shared" si="3"/>
      </c>
      <c r="D44" s="584"/>
      <c r="E44" s="701"/>
      <c r="F44" s="703">
        <f t="shared" si="4"/>
      </c>
      <c r="G44" s="220">
        <f t="shared" si="0"/>
      </c>
      <c r="H44" s="218"/>
      <c r="I44" s="223">
        <f t="shared" si="1"/>
      </c>
      <c r="J44" s="64"/>
      <c r="K44" s="226">
        <f t="shared" si="5"/>
      </c>
      <c r="L44" s="64"/>
      <c r="M44" s="226">
        <f t="shared" si="2"/>
      </c>
      <c r="N44" s="229">
        <f t="shared" si="6"/>
      </c>
      <c r="O44" s="386">
        <f t="shared" si="7"/>
      </c>
      <c r="P44" s="391"/>
      <c r="Q44" s="392"/>
      <c r="AH44" s="96" t="s">
        <v>137</v>
      </c>
      <c r="AI44" s="134" t="s">
        <v>49</v>
      </c>
      <c r="AJ44" s="97" t="s">
        <v>54</v>
      </c>
      <c r="AK44" s="98">
        <v>2</v>
      </c>
      <c r="AL44" s="97" t="s">
        <v>54</v>
      </c>
      <c r="AM44" s="98">
        <v>1</v>
      </c>
      <c r="AN44" s="678" t="s">
        <v>54</v>
      </c>
      <c r="AO44" s="99">
        <v>1</v>
      </c>
      <c r="AP44" s="84"/>
      <c r="AQ44" s="84"/>
      <c r="AR44" s="84"/>
    </row>
    <row r="45" spans="2:65" s="77" customFormat="1" ht="13.5" thickBot="1">
      <c r="B45" s="487"/>
      <c r="C45" s="501"/>
      <c r="D45" s="556" t="s">
        <v>111</v>
      </c>
      <c r="E45" s="585">
        <f>SUM(E15:E44)</f>
        <v>4</v>
      </c>
      <c r="F45" s="515"/>
      <c r="G45" s="515"/>
      <c r="H45" s="514"/>
      <c r="I45" s="556" t="s">
        <v>111</v>
      </c>
      <c r="J45" s="586">
        <f aca="true" t="shared" si="8" ref="J45:O45">SUM(J15:J44)</f>
        <v>0</v>
      </c>
      <c r="K45" s="587">
        <f t="shared" si="8"/>
        <v>0</v>
      </c>
      <c r="L45" s="588">
        <f t="shared" si="8"/>
        <v>1.16</v>
      </c>
      <c r="M45" s="589">
        <f t="shared" si="8"/>
        <v>3.4799999999999995</v>
      </c>
      <c r="N45" s="590">
        <f t="shared" si="8"/>
        <v>2.8400000000000003</v>
      </c>
      <c r="O45" s="590">
        <f t="shared" si="8"/>
        <v>8.430000000000001</v>
      </c>
      <c r="P45" s="377" t="s">
        <v>93</v>
      </c>
      <c r="Q45" s="378"/>
      <c r="AG45" s="80"/>
      <c r="AH45" s="96" t="s">
        <v>330</v>
      </c>
      <c r="AI45" s="134" t="s">
        <v>45</v>
      </c>
      <c r="AJ45" s="97" t="s">
        <v>54</v>
      </c>
      <c r="AK45" s="98">
        <v>2</v>
      </c>
      <c r="AL45" s="97" t="s">
        <v>54</v>
      </c>
      <c r="AM45" s="98">
        <v>1</v>
      </c>
      <c r="AN45" s="678"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91" t="s">
        <v>194</v>
      </c>
      <c r="P46" s="377"/>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43" t="s">
        <v>246</v>
      </c>
      <c r="N47" s="744"/>
      <c r="O47" s="592">
        <f>K45+M45+O45</f>
        <v>11.91</v>
      </c>
      <c r="P47" s="377"/>
      <c r="Q47" s="378"/>
      <c r="AG47" s="80"/>
      <c r="AH47" s="96" t="s">
        <v>135</v>
      </c>
      <c r="AI47" s="134" t="s">
        <v>47</v>
      </c>
      <c r="AJ47" s="97" t="s">
        <v>54</v>
      </c>
      <c r="AK47" s="98">
        <v>2</v>
      </c>
      <c r="AL47" s="97" t="s">
        <v>54</v>
      </c>
      <c r="AM47" s="98">
        <v>1</v>
      </c>
      <c r="AN47" s="678"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7"/>
      <c r="C48" s="248"/>
      <c r="D48" s="249" t="s">
        <v>338</v>
      </c>
      <c r="E48" s="250"/>
      <c r="F48" s="251"/>
      <c r="G48" s="252"/>
      <c r="H48" s="253"/>
      <c r="I48" s="254"/>
      <c r="J48" s="255" t="s">
        <v>100</v>
      </c>
      <c r="K48" s="256"/>
      <c r="L48" s="123"/>
      <c r="M48" s="124"/>
      <c r="N48" s="124"/>
      <c r="O48" s="376"/>
      <c r="P48" s="379"/>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2" t="s">
        <v>116</v>
      </c>
      <c r="C49" s="763"/>
      <c r="D49" s="257" t="s">
        <v>294</v>
      </c>
      <c r="E49" s="258" t="s">
        <v>6</v>
      </c>
      <c r="F49" s="259"/>
      <c r="G49" s="260"/>
      <c r="H49" s="259"/>
      <c r="I49" s="261"/>
      <c r="J49" s="261" t="s">
        <v>142</v>
      </c>
      <c r="K49" s="262" t="s">
        <v>143</v>
      </c>
      <c r="L49" s="127"/>
      <c r="M49" s="121"/>
      <c r="N49" s="121"/>
      <c r="O49" s="121"/>
      <c r="P49" s="379"/>
      <c r="Q49" s="126"/>
      <c r="AH49" s="96" t="s">
        <v>140</v>
      </c>
      <c r="AI49" s="134" t="s">
        <v>57</v>
      </c>
      <c r="AJ49" s="97" t="s">
        <v>54</v>
      </c>
      <c r="AK49" s="98">
        <v>2</v>
      </c>
      <c r="AL49" s="97" t="s">
        <v>54</v>
      </c>
      <c r="AM49" s="98">
        <v>1</v>
      </c>
      <c r="AN49" s="97" t="s">
        <v>54</v>
      </c>
      <c r="AO49" s="98">
        <v>1</v>
      </c>
      <c r="AP49" s="84"/>
      <c r="AQ49" s="84"/>
      <c r="AR49" s="84"/>
    </row>
    <row r="50" spans="2:44" ht="12.75" customHeight="1" thickBot="1">
      <c r="B50" s="776"/>
      <c r="C50" s="593" t="s">
        <v>117</v>
      </c>
      <c r="D50" s="65"/>
      <c r="E50" s="66"/>
      <c r="F50" s="59">
        <f>IF($D50&gt;0,(VLOOKUP($D50,$AH$3:$AO$50,3,FALSE)),"")</f>
      </c>
      <c r="G50" s="263">
        <f>IF($D50&gt;0,(VLOOKUP($F50,$AQ$5:$AR$10,2,FALSE)),"")</f>
      </c>
      <c r="H50" s="116"/>
      <c r="I50" s="264">
        <f aca="true" t="shared" si="9" ref="I50:I59">IF($H50&gt;0,(VLOOKUP($H50,$AQ$13:$AR$15,2,FALSE)),"")</f>
      </c>
      <c r="J50" s="266">
        <f>IF(D50&gt;0,(E50*G50*I50),"")</f>
      </c>
      <c r="K50" s="267">
        <f>IF(D50&gt;0,(J50-J51),"")</f>
      </c>
      <c r="L50" s="517"/>
      <c r="M50" s="517"/>
      <c r="N50" s="517"/>
      <c r="O50" s="517"/>
      <c r="P50" s="183"/>
      <c r="Q50" s="184"/>
      <c r="AF50" s="105"/>
      <c r="AH50" s="675" t="s">
        <v>327</v>
      </c>
      <c r="AI50" s="676" t="s">
        <v>112</v>
      </c>
      <c r="AJ50" s="680" t="s">
        <v>54</v>
      </c>
      <c r="AK50" s="151">
        <v>2</v>
      </c>
      <c r="AL50" s="680" t="s">
        <v>54</v>
      </c>
      <c r="AM50" s="151">
        <v>1</v>
      </c>
      <c r="AN50" s="680" t="s">
        <v>54</v>
      </c>
      <c r="AO50" s="151">
        <v>1</v>
      </c>
      <c r="AP50" s="84"/>
      <c r="AQ50" s="84"/>
      <c r="AR50" s="84"/>
    </row>
    <row r="51" spans="2:44" ht="13.5" thickBot="1">
      <c r="B51" s="772"/>
      <c r="C51" s="594" t="s">
        <v>118</v>
      </c>
      <c r="D51" s="129"/>
      <c r="E51" s="130"/>
      <c r="F51" s="131"/>
      <c r="G51" s="132"/>
      <c r="H51" s="133"/>
      <c r="I51" s="265">
        <f t="shared" si="9"/>
      </c>
      <c r="J51" s="268">
        <f>IF(D50&gt;0,(E50*G50*I51),"")</f>
      </c>
      <c r="K51" s="269"/>
      <c r="L51" s="517"/>
      <c r="M51" s="517"/>
      <c r="N51" s="517"/>
      <c r="O51" s="517"/>
      <c r="P51" s="382"/>
      <c r="Q51" s="383"/>
      <c r="AF51" s="105"/>
      <c r="AH51" s="665" t="s">
        <v>125</v>
      </c>
      <c r="AI51" s="666"/>
      <c r="AJ51" s="667"/>
      <c r="AK51" s="668"/>
      <c r="AL51" s="669"/>
      <c r="AM51" s="670"/>
      <c r="AN51" s="671"/>
      <c r="AO51" s="672"/>
      <c r="AP51" s="84"/>
      <c r="AQ51" s="84"/>
      <c r="AR51" s="84"/>
    </row>
    <row r="52" spans="2:44" ht="12.75" customHeight="1">
      <c r="B52" s="770"/>
      <c r="C52" s="593" t="s">
        <v>117</v>
      </c>
      <c r="D52" s="65"/>
      <c r="E52" s="66"/>
      <c r="F52" s="59">
        <f>IF($D52&gt;0,(VLOOKUP($D52,$AH$3:$AO$450,3,FALSE)),"")</f>
      </c>
      <c r="G52" s="263">
        <f>IF($D52&gt;0,(VLOOKUP($F52,$AQ$5:$AR$10,2,FALSE)),"")</f>
      </c>
      <c r="H52" s="116"/>
      <c r="I52" s="264">
        <f t="shared" si="9"/>
      </c>
      <c r="J52" s="266">
        <f>IF(D52&gt;0,(E52*G52*I52),"")</f>
      </c>
      <c r="K52" s="267">
        <f>IF(D52&gt;0,(J52-J53),"")</f>
      </c>
      <c r="L52" s="517"/>
      <c r="M52" s="517"/>
      <c r="N52" s="517"/>
      <c r="O52" s="517"/>
      <c r="P52" s="382"/>
      <c r="Q52" s="383"/>
      <c r="AF52" s="186"/>
      <c r="AH52" s="87" t="s">
        <v>185</v>
      </c>
      <c r="AI52" s="674" t="s">
        <v>62</v>
      </c>
      <c r="AJ52" s="88" t="s">
        <v>76</v>
      </c>
      <c r="AK52" s="89">
        <v>4</v>
      </c>
      <c r="AL52" s="88" t="s">
        <v>54</v>
      </c>
      <c r="AM52" s="89">
        <v>1</v>
      </c>
      <c r="AN52" s="677" t="s">
        <v>54</v>
      </c>
      <c r="AO52" s="90">
        <v>1</v>
      </c>
      <c r="AP52" s="84"/>
      <c r="AQ52" s="84"/>
      <c r="AR52" s="84"/>
    </row>
    <row r="53" spans="2:44" ht="13.5" thickBot="1">
      <c r="B53" s="772"/>
      <c r="C53" s="594" t="s">
        <v>118</v>
      </c>
      <c r="D53" s="129"/>
      <c r="E53" s="130"/>
      <c r="F53" s="131"/>
      <c r="G53" s="132"/>
      <c r="H53" s="133"/>
      <c r="I53" s="265">
        <f t="shared" si="9"/>
      </c>
      <c r="J53" s="268">
        <f>IF(D52&gt;0,(E52*G52*I53),"")</f>
      </c>
      <c r="K53" s="269"/>
      <c r="L53" s="517"/>
      <c r="M53" s="517"/>
      <c r="N53" s="517"/>
      <c r="O53" s="517"/>
      <c r="P53" s="382"/>
      <c r="Q53" s="383"/>
      <c r="AF53" s="186"/>
      <c r="AH53" s="96" t="s">
        <v>184</v>
      </c>
      <c r="AI53" s="134" t="s">
        <v>63</v>
      </c>
      <c r="AJ53" s="97" t="s">
        <v>52</v>
      </c>
      <c r="AK53" s="98">
        <v>6</v>
      </c>
      <c r="AL53" s="97" t="s">
        <v>54</v>
      </c>
      <c r="AM53" s="98">
        <v>1</v>
      </c>
      <c r="AN53" s="678" t="s">
        <v>54</v>
      </c>
      <c r="AO53" s="99">
        <v>1</v>
      </c>
      <c r="AP53" s="84"/>
      <c r="AQ53" s="84"/>
      <c r="AR53" s="84"/>
    </row>
    <row r="54" spans="2:44" ht="12.75" customHeight="1">
      <c r="B54" s="770"/>
      <c r="C54" s="593" t="s">
        <v>117</v>
      </c>
      <c r="D54" s="65"/>
      <c r="E54" s="66"/>
      <c r="F54" s="59">
        <f>IF($D54&gt;0,(VLOOKUP($D54,$AH$3:$AO$50,3,FALSE)),"")</f>
      </c>
      <c r="G54" s="263">
        <f>IF($D54&gt;0,(VLOOKUP($F54,$AQ$5:$AR$10,2,FALSE)),"")</f>
      </c>
      <c r="H54" s="116"/>
      <c r="I54" s="264">
        <f t="shared" si="9"/>
      </c>
      <c r="J54" s="266">
        <f>IF(D54&gt;0,(E54*G54*I54),"")</f>
      </c>
      <c r="K54" s="267">
        <f>IF(D54&gt;0,(J54-J55),"")</f>
      </c>
      <c r="L54" s="517"/>
      <c r="M54" s="517"/>
      <c r="N54" s="517"/>
      <c r="O54" s="517"/>
      <c r="P54" s="382"/>
      <c r="Q54" s="383"/>
      <c r="AF54" s="186"/>
      <c r="AH54" s="96" t="s">
        <v>182</v>
      </c>
      <c r="AI54" s="134" t="s">
        <v>65</v>
      </c>
      <c r="AJ54" s="97" t="s">
        <v>307</v>
      </c>
      <c r="AK54" s="98">
        <v>5</v>
      </c>
      <c r="AL54" s="97" t="s">
        <v>54</v>
      </c>
      <c r="AM54" s="98">
        <v>1</v>
      </c>
      <c r="AN54" s="678" t="s">
        <v>54</v>
      </c>
      <c r="AO54" s="99">
        <v>1</v>
      </c>
      <c r="AP54" s="84"/>
      <c r="AQ54" s="84"/>
      <c r="AR54" s="84"/>
    </row>
    <row r="55" spans="2:44" ht="13.5" thickBot="1">
      <c r="B55" s="772"/>
      <c r="C55" s="594" t="s">
        <v>118</v>
      </c>
      <c r="D55" s="129"/>
      <c r="E55" s="130"/>
      <c r="F55" s="131"/>
      <c r="G55" s="132"/>
      <c r="H55" s="133"/>
      <c r="I55" s="265">
        <f t="shared" si="9"/>
      </c>
      <c r="J55" s="268">
        <f>IF(D54&gt;0,(E54*G54*I55),"")</f>
      </c>
      <c r="K55" s="269"/>
      <c r="L55" s="517"/>
      <c r="M55" s="517"/>
      <c r="N55" s="517"/>
      <c r="O55" s="517"/>
      <c r="P55" s="382"/>
      <c r="Q55" s="383"/>
      <c r="AF55" s="186"/>
      <c r="AH55" s="96" t="s">
        <v>181</v>
      </c>
      <c r="AI55" s="134" t="s">
        <v>58</v>
      </c>
      <c r="AJ55" s="97" t="s">
        <v>52</v>
      </c>
      <c r="AK55" s="98">
        <v>6</v>
      </c>
      <c r="AL55" s="97" t="s">
        <v>54</v>
      </c>
      <c r="AM55" s="98">
        <v>1</v>
      </c>
      <c r="AN55" s="678" t="s">
        <v>54</v>
      </c>
      <c r="AO55" s="99">
        <v>1</v>
      </c>
      <c r="AP55" s="84"/>
      <c r="AQ55" s="84"/>
      <c r="AR55" s="84"/>
    </row>
    <row r="56" spans="2:44" ht="12.75" customHeight="1">
      <c r="B56" s="770"/>
      <c r="C56" s="593" t="s">
        <v>117</v>
      </c>
      <c r="D56" s="65"/>
      <c r="E56" s="66"/>
      <c r="F56" s="59">
        <f>IF($D56&gt;0,(VLOOKUP($D56,$AH$3:$AO$50,3,FALSE)),"")</f>
      </c>
      <c r="G56" s="263">
        <f>IF($D56&gt;0,(VLOOKUP($F56,$AQ$5:$AR$10,2,FALSE)),"")</f>
      </c>
      <c r="H56" s="116"/>
      <c r="I56" s="264">
        <f t="shared" si="9"/>
      </c>
      <c r="J56" s="266">
        <f>IF(D56&gt;0,(E56*G56*I56),"")</f>
      </c>
      <c r="K56" s="267">
        <f>IF(D56&gt;0,(J56-J57),"")</f>
      </c>
      <c r="L56" s="517"/>
      <c r="M56" s="517"/>
      <c r="N56" s="517"/>
      <c r="O56" s="517"/>
      <c r="P56" s="382"/>
      <c r="Q56" s="383"/>
      <c r="AF56" s="186"/>
      <c r="AH56" s="96" t="s">
        <v>183</v>
      </c>
      <c r="AI56" s="134" t="s">
        <v>64</v>
      </c>
      <c r="AJ56" s="97" t="s">
        <v>54</v>
      </c>
      <c r="AK56" s="98">
        <v>2</v>
      </c>
      <c r="AL56" s="97" t="s">
        <v>112</v>
      </c>
      <c r="AM56" s="98" t="s">
        <v>110</v>
      </c>
      <c r="AN56" s="97" t="s">
        <v>112</v>
      </c>
      <c r="AO56" s="98" t="s">
        <v>110</v>
      </c>
      <c r="AP56" s="84"/>
      <c r="AQ56" s="84"/>
      <c r="AR56" s="84"/>
    </row>
    <row r="57" spans="2:44" ht="13.5" thickBot="1">
      <c r="B57" s="772"/>
      <c r="C57" s="594" t="s">
        <v>118</v>
      </c>
      <c r="D57" s="129"/>
      <c r="E57" s="130"/>
      <c r="F57" s="131"/>
      <c r="G57" s="132"/>
      <c r="H57" s="133"/>
      <c r="I57" s="265">
        <f t="shared" si="9"/>
      </c>
      <c r="J57" s="268">
        <f>IF(D56&gt;0,(E56*G56*I57),"")</f>
      </c>
      <c r="K57" s="269"/>
      <c r="L57" s="517"/>
      <c r="M57" s="517"/>
      <c r="N57" s="517"/>
      <c r="O57" s="517"/>
      <c r="P57" s="382"/>
      <c r="Q57" s="383"/>
      <c r="AF57" s="186"/>
      <c r="AH57" s="96" t="s">
        <v>187</v>
      </c>
      <c r="AI57" s="134" t="s">
        <v>19</v>
      </c>
      <c r="AJ57" s="97" t="s">
        <v>76</v>
      </c>
      <c r="AK57" s="98">
        <v>4</v>
      </c>
      <c r="AL57" s="97" t="s">
        <v>54</v>
      </c>
      <c r="AM57" s="98">
        <v>1</v>
      </c>
      <c r="AN57" s="678" t="s">
        <v>54</v>
      </c>
      <c r="AO57" s="99">
        <v>1</v>
      </c>
      <c r="AP57" s="84"/>
      <c r="AQ57" s="84"/>
      <c r="AR57" s="84"/>
    </row>
    <row r="58" spans="2:44" ht="12.75" customHeight="1">
      <c r="B58" s="770"/>
      <c r="C58" s="593" t="s">
        <v>117</v>
      </c>
      <c r="D58" s="65"/>
      <c r="E58" s="66"/>
      <c r="F58" s="59">
        <f>IF($D58&gt;0,(VLOOKUP($D58,$AH$3:$AO$50,3,FALSE)),"")</f>
      </c>
      <c r="G58" s="263">
        <f>IF($D58&gt;0,(VLOOKUP($F58,$AQ$5:$AR$10,2,FALSE)),"")</f>
      </c>
      <c r="H58" s="116"/>
      <c r="I58" s="264">
        <f t="shared" si="9"/>
      </c>
      <c r="J58" s="266">
        <f>IF(D58&gt;0,(E58*G58*I58),"")</f>
      </c>
      <c r="K58" s="267">
        <f>IF(D58&gt;0,(J58-J59),"")</f>
      </c>
      <c r="L58" s="517"/>
      <c r="M58" s="170"/>
      <c r="N58" s="170"/>
      <c r="O58" s="170"/>
      <c r="P58" s="382"/>
      <c r="Q58" s="383"/>
      <c r="AF58" s="186"/>
      <c r="AH58" s="96" t="s">
        <v>186</v>
      </c>
      <c r="AI58" s="134" t="s">
        <v>59</v>
      </c>
      <c r="AJ58" s="97" t="s">
        <v>76</v>
      </c>
      <c r="AK58" s="98">
        <v>4</v>
      </c>
      <c r="AL58" s="97" t="s">
        <v>54</v>
      </c>
      <c r="AM58" s="98">
        <v>1</v>
      </c>
      <c r="AN58" s="678" t="s">
        <v>54</v>
      </c>
      <c r="AO58" s="99">
        <v>1</v>
      </c>
      <c r="AP58" s="84"/>
      <c r="AQ58" s="84"/>
      <c r="AR58" s="84"/>
    </row>
    <row r="59" spans="2:44" ht="13.5" thickBot="1">
      <c r="B59" s="771"/>
      <c r="C59" s="594" t="s">
        <v>118</v>
      </c>
      <c r="D59" s="129"/>
      <c r="E59" s="130"/>
      <c r="F59" s="131"/>
      <c r="G59" s="132"/>
      <c r="H59" s="133"/>
      <c r="I59" s="265">
        <f t="shared" si="9"/>
      </c>
      <c r="J59" s="268">
        <f>IF(D58&gt;0,(E58*G58*I59),"")</f>
      </c>
      <c r="K59" s="269"/>
      <c r="L59" s="517"/>
      <c r="M59" s="517"/>
      <c r="N59" s="517"/>
      <c r="O59" s="517"/>
      <c r="P59" s="384"/>
      <c r="Q59" s="385"/>
      <c r="AF59" s="186"/>
      <c r="AH59" s="96" t="s">
        <v>292</v>
      </c>
      <c r="AI59" s="134" t="s">
        <v>56</v>
      </c>
      <c r="AJ59" s="97" t="s">
        <v>54</v>
      </c>
      <c r="AK59" s="98">
        <v>2</v>
      </c>
      <c r="AL59" s="97" t="s">
        <v>54</v>
      </c>
      <c r="AM59" s="98">
        <v>1</v>
      </c>
      <c r="AN59" s="678" t="s">
        <v>54</v>
      </c>
      <c r="AO59" s="99">
        <v>1</v>
      </c>
      <c r="AP59" s="84"/>
      <c r="AQ59" s="84"/>
      <c r="AR59" s="84"/>
    </row>
    <row r="60" spans="2:44" ht="13.5" thickBot="1">
      <c r="B60" s="531"/>
      <c r="C60" s="532"/>
      <c r="D60" s="533" t="s">
        <v>111</v>
      </c>
      <c r="E60" s="595">
        <f>SUM(E50:E59)</f>
        <v>0</v>
      </c>
      <c r="F60" s="535"/>
      <c r="G60" s="536"/>
      <c r="H60" s="536"/>
      <c r="I60" s="536"/>
      <c r="J60" s="537" t="s">
        <v>94</v>
      </c>
      <c r="K60" s="596">
        <f>SUM(K50:K59)</f>
        <v>0</v>
      </c>
      <c r="L60" s="539"/>
      <c r="M60" s="561"/>
      <c r="N60" s="561"/>
      <c r="O60" s="597" t="s">
        <v>195</v>
      </c>
      <c r="P60" s="380"/>
      <c r="Q60" s="381"/>
      <c r="AF60" s="186"/>
      <c r="AH60" s="96" t="s">
        <v>180</v>
      </c>
      <c r="AI60" s="134" t="s">
        <v>43</v>
      </c>
      <c r="AJ60" s="97" t="s">
        <v>52</v>
      </c>
      <c r="AK60" s="98">
        <v>6</v>
      </c>
      <c r="AL60" s="97" t="s">
        <v>76</v>
      </c>
      <c r="AM60" s="98">
        <v>2</v>
      </c>
      <c r="AN60" s="678" t="s">
        <v>54</v>
      </c>
      <c r="AO60" s="99">
        <v>1</v>
      </c>
      <c r="AP60" s="84"/>
      <c r="AQ60" s="84"/>
      <c r="AR60" s="84"/>
    </row>
    <row r="61" spans="2:44" ht="13.5" thickBot="1">
      <c r="B61" s="115"/>
      <c r="C61" s="115"/>
      <c r="D61" s="485"/>
      <c r="E61" s="543"/>
      <c r="F61" s="485"/>
      <c r="G61" s="485"/>
      <c r="H61" s="485"/>
      <c r="I61" s="485"/>
      <c r="J61" s="486"/>
      <c r="K61" s="543"/>
      <c r="L61" s="543"/>
      <c r="M61" s="723" t="s">
        <v>113</v>
      </c>
      <c r="N61" s="724"/>
      <c r="O61" s="598">
        <f>O45+K60</f>
        <v>8.430000000000001</v>
      </c>
      <c r="P61" s="137"/>
      <c r="Q61" s="137"/>
      <c r="AF61" s="186"/>
      <c r="AH61" s="96" t="s">
        <v>179</v>
      </c>
      <c r="AI61" s="134" t="s">
        <v>44</v>
      </c>
      <c r="AJ61" s="97" t="s">
        <v>52</v>
      </c>
      <c r="AK61" s="98">
        <v>6</v>
      </c>
      <c r="AL61" s="97" t="s">
        <v>76</v>
      </c>
      <c r="AM61" s="98">
        <v>2</v>
      </c>
      <c r="AN61" s="678" t="s">
        <v>54</v>
      </c>
      <c r="AO61" s="99">
        <v>1</v>
      </c>
      <c r="AP61" s="84"/>
      <c r="AQ61" s="84"/>
      <c r="AR61" s="84"/>
    </row>
    <row r="62" spans="2:44" ht="12.75">
      <c r="B62" s="138">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8" t="s">
        <v>54</v>
      </c>
      <c r="AO62" s="99">
        <v>1</v>
      </c>
      <c r="AP62" s="84"/>
      <c r="AQ62" s="84"/>
      <c r="AR62" s="84"/>
    </row>
    <row r="63" spans="1:44" s="117" customFormat="1" ht="13.5" thickBot="1">
      <c r="A63" s="115"/>
      <c r="B63" s="138">
        <f>IF('Habitat trading down correction'!E42+'Habitat trading down correction'!F42&gt;0,"Any unavoidable loss of habitats of high distinctiveness must be replaced like-for-like.","")</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8" t="s">
        <v>54</v>
      </c>
      <c r="AO63" s="99">
        <v>1</v>
      </c>
      <c r="AP63" s="84"/>
      <c r="AQ63" s="84"/>
      <c r="AR63" s="84"/>
    </row>
    <row r="64" spans="2:44" ht="27.75" customHeight="1" thickBot="1">
      <c r="B64" s="77"/>
      <c r="C64" s="715" t="s">
        <v>101</v>
      </c>
      <c r="D64" s="761"/>
      <c r="E64" s="716"/>
      <c r="F64" s="717" t="s">
        <v>96</v>
      </c>
      <c r="G64" s="718"/>
      <c r="H64" s="717" t="s">
        <v>97</v>
      </c>
      <c r="I64" s="719"/>
      <c r="J64" s="281"/>
      <c r="K64" s="719" t="s">
        <v>95</v>
      </c>
      <c r="L64" s="718"/>
      <c r="M64" s="715" t="s">
        <v>99</v>
      </c>
      <c r="N64" s="716"/>
      <c r="O64" s="745" t="s">
        <v>104</v>
      </c>
      <c r="P64" s="77"/>
      <c r="Q64" s="77"/>
      <c r="AF64" s="186"/>
      <c r="AH64" s="96" t="s">
        <v>174</v>
      </c>
      <c r="AI64" s="134" t="s">
        <v>67</v>
      </c>
      <c r="AJ64" s="97" t="s">
        <v>54</v>
      </c>
      <c r="AK64" s="98">
        <v>2</v>
      </c>
      <c r="AL64" s="97" t="s">
        <v>54</v>
      </c>
      <c r="AM64" s="98">
        <v>1</v>
      </c>
      <c r="AN64" s="678" t="s">
        <v>54</v>
      </c>
      <c r="AO64" s="99">
        <v>1</v>
      </c>
      <c r="AP64" s="84"/>
      <c r="AQ64" s="84"/>
      <c r="AR64" s="84"/>
    </row>
    <row r="65" spans="2:44" ht="26.25" thickBot="1">
      <c r="B65" s="241" t="s">
        <v>11</v>
      </c>
      <c r="C65" s="242" t="s">
        <v>10</v>
      </c>
      <c r="D65" s="243" t="s">
        <v>209</v>
      </c>
      <c r="E65" s="246" t="s">
        <v>72</v>
      </c>
      <c r="F65" s="282" t="s">
        <v>0</v>
      </c>
      <c r="G65" s="283" t="s">
        <v>80</v>
      </c>
      <c r="H65" s="282" t="s">
        <v>1</v>
      </c>
      <c r="I65" s="284" t="s">
        <v>80</v>
      </c>
      <c r="J65" s="285"/>
      <c r="K65" s="286" t="s">
        <v>98</v>
      </c>
      <c r="L65" s="284" t="s">
        <v>80</v>
      </c>
      <c r="M65" s="287" t="s">
        <v>78</v>
      </c>
      <c r="N65" s="288" t="s">
        <v>80</v>
      </c>
      <c r="O65" s="746"/>
      <c r="P65" s="374" t="s">
        <v>9</v>
      </c>
      <c r="Q65" s="375"/>
      <c r="R65" s="150"/>
      <c r="S65" s="150"/>
      <c r="AF65" s="186"/>
      <c r="AH65" s="96" t="s">
        <v>175</v>
      </c>
      <c r="AI65" s="134" t="s">
        <v>67</v>
      </c>
      <c r="AJ65" s="97" t="s">
        <v>76</v>
      </c>
      <c r="AK65" s="98">
        <v>4</v>
      </c>
      <c r="AL65" s="97" t="s">
        <v>54</v>
      </c>
      <c r="AM65" s="98">
        <v>1</v>
      </c>
      <c r="AN65" s="678" t="s">
        <v>54</v>
      </c>
      <c r="AO65" s="99">
        <v>1</v>
      </c>
      <c r="AP65" s="84"/>
      <c r="AQ65" s="84"/>
      <c r="AR65" s="84"/>
    </row>
    <row r="66" spans="2:44" ht="25.5">
      <c r="B66" s="169"/>
      <c r="C66" s="341"/>
      <c r="D66" s="340" t="s">
        <v>84</v>
      </c>
      <c r="E66" s="237" t="s">
        <v>120</v>
      </c>
      <c r="F66" s="289"/>
      <c r="G66" s="290" t="s">
        <v>121</v>
      </c>
      <c r="H66" s="291"/>
      <c r="I66" s="292" t="s">
        <v>145</v>
      </c>
      <c r="J66" s="285"/>
      <c r="K66" s="289"/>
      <c r="L66" s="293" t="s">
        <v>146</v>
      </c>
      <c r="M66" s="294"/>
      <c r="N66" s="290" t="s">
        <v>147</v>
      </c>
      <c r="O66" s="293" t="s">
        <v>281</v>
      </c>
      <c r="P66" s="367"/>
      <c r="Q66" s="368"/>
      <c r="R66" s="93"/>
      <c r="S66" s="93"/>
      <c r="AF66" s="186"/>
      <c r="AH66" s="96" t="s">
        <v>177</v>
      </c>
      <c r="AI66" s="134" t="s">
        <v>60</v>
      </c>
      <c r="AJ66" s="97" t="s">
        <v>76</v>
      </c>
      <c r="AK66" s="98">
        <v>4</v>
      </c>
      <c r="AL66" s="97" t="s">
        <v>54</v>
      </c>
      <c r="AM66" s="98">
        <v>1</v>
      </c>
      <c r="AN66" s="678" t="s">
        <v>54</v>
      </c>
      <c r="AO66" s="99">
        <v>1</v>
      </c>
      <c r="AP66" s="84"/>
      <c r="AQ66" s="84"/>
      <c r="AR66" s="84"/>
    </row>
    <row r="67" spans="2:41" ht="12.75" hidden="1">
      <c r="B67" s="198"/>
      <c r="C67" s="579">
        <f>IF($D67&gt;0,(VLOOKUP($D67,$AH$3:$AO$50,2,FALSE)),"")</f>
      </c>
      <c r="D67" s="706"/>
      <c r="E67" s="67"/>
      <c r="F67" s="59">
        <f>IF($D67&gt;0,(VLOOKUP($D67,$AH$3:$AO$50,3,FALSE)),"")</f>
      </c>
      <c r="G67" s="216">
        <f aca="true" t="shared" si="10" ref="G67:G81">IF($D67&gt;0,(VLOOKUP($F67,$AQ$5:$AR$10,2,FALSE)),"")</f>
      </c>
      <c r="H67" s="154"/>
      <c r="I67" s="221">
        <f aca="true" t="shared" si="11" ref="I67:I81">IF($H67&gt;0,(VLOOKUP($H67,$AQ$13:$AR$15,2,FALSE)),"")</f>
      </c>
      <c r="J67" s="709"/>
      <c r="K67" s="116"/>
      <c r="L67" s="312">
        <f aca="true" t="shared" si="12" ref="L67:L81">IF($K67&gt;0,(VLOOKUP($K67,$AQ$18:$AR$24,2,FALSE)),"")</f>
      </c>
      <c r="M67" s="59">
        <f>IF($D67&gt;0,(VLOOKUP($D67,$AH$3:$AO$50,5,FALSE)),"")</f>
      </c>
      <c r="N67" s="216">
        <f aca="true" t="shared" si="13" ref="N67:N81">IF($D67&gt;0,(VLOOKUP($M67,$AQ$27:$AR$31,2,FALSE)),"")</f>
      </c>
      <c r="O67" s="364">
        <f>IF(D67&gt;0,(E67*G67*I67)/L67/N67,"")</f>
      </c>
      <c r="P67" s="492"/>
      <c r="Q67" s="373"/>
      <c r="R67" s="155"/>
      <c r="S67" s="155"/>
      <c r="AF67" s="105"/>
      <c r="AH67" s="96" t="s">
        <v>178</v>
      </c>
      <c r="AI67" s="134" t="s">
        <v>68</v>
      </c>
      <c r="AJ67" s="97" t="s">
        <v>54</v>
      </c>
      <c r="AK67" s="98">
        <v>2</v>
      </c>
      <c r="AL67" s="97" t="s">
        <v>54</v>
      </c>
      <c r="AM67" s="98">
        <v>1</v>
      </c>
      <c r="AN67" s="678" t="s">
        <v>54</v>
      </c>
      <c r="AO67" s="99">
        <v>1</v>
      </c>
    </row>
    <row r="68" spans="2:41" ht="13.5" hidden="1" thickBot="1">
      <c r="B68" s="204"/>
      <c r="C68" s="581">
        <f aca="true" t="shared" si="14" ref="C68:C81">IF($D68&gt;0,(VLOOKUP($D68,$AH$3:$AO$50,2,FALSE)),"")</f>
      </c>
      <c r="D68" s="705"/>
      <c r="E68" s="68"/>
      <c r="F68" s="60">
        <f aca="true" t="shared" si="15" ref="F68:F81">IF($D68&gt;0,(VLOOKUP($D68,$AH$3:$AO$50,3,FALSE)),"")</f>
      </c>
      <c r="G68" s="219">
        <f t="shared" si="10"/>
      </c>
      <c r="H68" s="156"/>
      <c r="I68" s="222">
        <f t="shared" si="11"/>
      </c>
      <c r="J68" s="548"/>
      <c r="K68" s="157"/>
      <c r="L68" s="313">
        <f t="shared" si="12"/>
      </c>
      <c r="M68" s="60">
        <f aca="true" t="shared" si="16" ref="M68:M81">IF($D68&gt;0,(VLOOKUP($D68,$AH$3:$AO$50,5,FALSE)),"")</f>
      </c>
      <c r="N68" s="219">
        <f t="shared" si="13"/>
      </c>
      <c r="O68" s="365">
        <f aca="true" t="shared" si="17" ref="O68:O81">IF(D68&gt;0,(E68*G68*I68)/L68/N68,"")</f>
      </c>
      <c r="P68" s="549"/>
      <c r="Q68" s="158"/>
      <c r="AF68" s="105"/>
      <c r="AH68" s="675" t="s">
        <v>328</v>
      </c>
      <c r="AI68" s="676" t="s">
        <v>112</v>
      </c>
      <c r="AJ68" s="680" t="s">
        <v>54</v>
      </c>
      <c r="AK68" s="151">
        <v>2</v>
      </c>
      <c r="AL68" s="680" t="s">
        <v>54</v>
      </c>
      <c r="AM68" s="151">
        <v>1</v>
      </c>
      <c r="AN68" s="680" t="s">
        <v>54</v>
      </c>
      <c r="AO68" s="151">
        <v>1</v>
      </c>
    </row>
    <row r="69" spans="2:41" ht="26.25" thickBot="1">
      <c r="B69" s="204"/>
      <c r="C69" s="581" t="str">
        <f t="shared" si="14"/>
        <v>n/a</v>
      </c>
      <c r="D69" s="705" t="s">
        <v>172</v>
      </c>
      <c r="E69" s="68">
        <v>0.38</v>
      </c>
      <c r="F69" s="60" t="str">
        <f t="shared" si="15"/>
        <v>Low</v>
      </c>
      <c r="G69" s="219">
        <f t="shared" si="10"/>
        <v>2</v>
      </c>
      <c r="H69" s="156" t="s">
        <v>71</v>
      </c>
      <c r="I69" s="222">
        <f t="shared" si="11"/>
        <v>1</v>
      </c>
      <c r="J69" s="548"/>
      <c r="K69" s="157" t="s">
        <v>86</v>
      </c>
      <c r="L69" s="313">
        <f t="shared" si="12"/>
        <v>1.2</v>
      </c>
      <c r="M69" s="60" t="str">
        <f t="shared" si="16"/>
        <v>Low</v>
      </c>
      <c r="N69" s="219">
        <f t="shared" si="13"/>
        <v>1</v>
      </c>
      <c r="O69" s="365">
        <f t="shared" si="17"/>
        <v>0.6333333333333334</v>
      </c>
      <c r="P69" s="549"/>
      <c r="Q69" s="158"/>
      <c r="AF69" s="105"/>
      <c r="AO69" s="153"/>
    </row>
    <row r="70" spans="2:41" ht="13.5" thickBot="1">
      <c r="B70" s="204"/>
      <c r="C70" s="581" t="str">
        <f t="shared" si="14"/>
        <v>n/a</v>
      </c>
      <c r="D70" s="705" t="s">
        <v>171</v>
      </c>
      <c r="E70" s="68">
        <v>1.8</v>
      </c>
      <c r="F70" s="60" t="str">
        <f t="shared" si="15"/>
        <v>none</v>
      </c>
      <c r="G70" s="219">
        <f t="shared" si="10"/>
        <v>0</v>
      </c>
      <c r="H70" s="156" t="s">
        <v>71</v>
      </c>
      <c r="I70" s="222">
        <f t="shared" si="11"/>
        <v>1</v>
      </c>
      <c r="J70" s="548"/>
      <c r="K70" s="157" t="s">
        <v>86</v>
      </c>
      <c r="L70" s="313">
        <f t="shared" si="12"/>
        <v>1.2</v>
      </c>
      <c r="M70" s="60" t="str">
        <f t="shared" si="16"/>
        <v>Low</v>
      </c>
      <c r="N70" s="219">
        <f t="shared" si="13"/>
        <v>1</v>
      </c>
      <c r="O70" s="365">
        <f t="shared" si="17"/>
        <v>0</v>
      </c>
      <c r="P70" s="549"/>
      <c r="Q70" s="158"/>
      <c r="AF70" s="105"/>
      <c r="AH70" s="684" t="s">
        <v>331</v>
      </c>
      <c r="AI70" s="684" t="s">
        <v>332</v>
      </c>
      <c r="AJ70" s="84"/>
      <c r="AK70" s="84"/>
      <c r="AL70" s="152"/>
      <c r="AM70" s="153"/>
      <c r="AN70" s="152"/>
      <c r="AO70" s="153"/>
    </row>
    <row r="71" spans="2:41" ht="13.5" thickBot="1">
      <c r="B71" s="204"/>
      <c r="C71" s="581" t="str">
        <f t="shared" si="14"/>
        <v>J4</v>
      </c>
      <c r="D71" s="705" t="s">
        <v>140</v>
      </c>
      <c r="E71" s="68">
        <v>0.06</v>
      </c>
      <c r="F71" s="60" t="str">
        <f t="shared" si="15"/>
        <v>Low</v>
      </c>
      <c r="G71" s="219">
        <f t="shared" si="10"/>
        <v>2</v>
      </c>
      <c r="H71" s="156" t="s">
        <v>71</v>
      </c>
      <c r="I71" s="222">
        <f t="shared" si="11"/>
        <v>1</v>
      </c>
      <c r="J71" s="548"/>
      <c r="K71" s="157" t="s">
        <v>86</v>
      </c>
      <c r="L71" s="313">
        <f t="shared" si="12"/>
        <v>1.2</v>
      </c>
      <c r="M71" s="60" t="str">
        <f t="shared" si="16"/>
        <v>Low</v>
      </c>
      <c r="N71" s="219">
        <f t="shared" si="13"/>
        <v>1</v>
      </c>
      <c r="O71" s="365">
        <f t="shared" si="17"/>
        <v>0.1</v>
      </c>
      <c r="P71" s="549"/>
      <c r="Q71" s="158"/>
      <c r="AF71" s="105"/>
      <c r="AH71" s="683" t="s">
        <v>79</v>
      </c>
      <c r="AI71" s="159" t="s">
        <v>79</v>
      </c>
      <c r="AJ71" s="84"/>
      <c r="AK71" s="84"/>
      <c r="AL71" s="152"/>
      <c r="AM71" s="153"/>
      <c r="AN71" s="152"/>
      <c r="AO71" s="153"/>
    </row>
    <row r="72" spans="2:41" ht="12.75">
      <c r="B72" s="204"/>
      <c r="C72" s="581" t="str">
        <f t="shared" si="14"/>
        <v>A112</v>
      </c>
      <c r="D72" s="705" t="s">
        <v>127</v>
      </c>
      <c r="E72" s="68">
        <v>0.24</v>
      </c>
      <c r="F72" s="60" t="str">
        <f t="shared" si="15"/>
        <v>Medium</v>
      </c>
      <c r="G72" s="219">
        <f t="shared" si="10"/>
        <v>4</v>
      </c>
      <c r="H72" s="156" t="s">
        <v>53</v>
      </c>
      <c r="I72" s="222">
        <f t="shared" si="11"/>
        <v>2</v>
      </c>
      <c r="J72" s="548"/>
      <c r="K72" s="157" t="s">
        <v>91</v>
      </c>
      <c r="L72" s="313">
        <f t="shared" si="12"/>
        <v>2.8</v>
      </c>
      <c r="M72" s="60" t="str">
        <f t="shared" si="16"/>
        <v>Medium</v>
      </c>
      <c r="N72" s="219">
        <f t="shared" si="13"/>
        <v>1.5</v>
      </c>
      <c r="O72" s="365">
        <f t="shared" si="17"/>
        <v>0.45714285714285713</v>
      </c>
      <c r="P72" s="549"/>
      <c r="Q72" s="158" t="s">
        <v>343</v>
      </c>
      <c r="AH72" s="681" t="s">
        <v>171</v>
      </c>
      <c r="AI72" s="160" t="s">
        <v>126</v>
      </c>
      <c r="AJ72" s="84"/>
      <c r="AK72" s="84"/>
      <c r="AL72" s="152"/>
      <c r="AM72" s="153"/>
      <c r="AN72" s="152"/>
      <c r="AO72" s="153"/>
    </row>
    <row r="73" spans="2:41" ht="12.75">
      <c r="B73" s="204"/>
      <c r="C73" s="581" t="str">
        <f t="shared" si="14"/>
        <v>J12</v>
      </c>
      <c r="D73" s="705" t="s">
        <v>160</v>
      </c>
      <c r="E73" s="68">
        <v>0.29</v>
      </c>
      <c r="F73" s="60" t="str">
        <f t="shared" si="15"/>
        <v>Low</v>
      </c>
      <c r="G73" s="219">
        <f t="shared" si="10"/>
        <v>2</v>
      </c>
      <c r="H73" s="156" t="s">
        <v>71</v>
      </c>
      <c r="I73" s="222">
        <f t="shared" si="11"/>
        <v>1</v>
      </c>
      <c r="J73" s="548"/>
      <c r="K73" s="157" t="s">
        <v>86</v>
      </c>
      <c r="L73" s="313">
        <f t="shared" si="12"/>
        <v>1.2</v>
      </c>
      <c r="M73" s="60" t="str">
        <f t="shared" si="16"/>
        <v>Low</v>
      </c>
      <c r="N73" s="219">
        <f t="shared" si="13"/>
        <v>1</v>
      </c>
      <c r="O73" s="365">
        <f t="shared" si="17"/>
        <v>0.48333333333333334</v>
      </c>
      <c r="P73" s="549"/>
      <c r="Q73" s="158"/>
      <c r="AH73" s="682" t="s">
        <v>172</v>
      </c>
      <c r="AI73" s="161" t="s">
        <v>127</v>
      </c>
      <c r="AJ73" s="84"/>
      <c r="AK73" s="84"/>
      <c r="AL73" s="152"/>
      <c r="AM73" s="153"/>
      <c r="AN73" s="152"/>
      <c r="AO73" s="153"/>
    </row>
    <row r="74" spans="2:41" ht="13.5" thickBot="1">
      <c r="B74" s="204"/>
      <c r="C74" s="581" t="str">
        <f t="shared" si="14"/>
        <v>A3</v>
      </c>
      <c r="D74" s="705" t="s">
        <v>335</v>
      </c>
      <c r="E74" s="68">
        <v>0.07</v>
      </c>
      <c r="F74" s="60" t="str">
        <f t="shared" si="15"/>
        <v>Medium</v>
      </c>
      <c r="G74" s="219">
        <f t="shared" si="10"/>
        <v>4</v>
      </c>
      <c r="H74" s="156" t="s">
        <v>53</v>
      </c>
      <c r="I74" s="222">
        <f t="shared" si="11"/>
        <v>2</v>
      </c>
      <c r="J74" s="548"/>
      <c r="K74" s="157" t="s">
        <v>91</v>
      </c>
      <c r="L74" s="313">
        <f t="shared" si="12"/>
        <v>2.8</v>
      </c>
      <c r="M74" s="60" t="str">
        <f t="shared" si="16"/>
        <v>Low</v>
      </c>
      <c r="N74" s="219">
        <f t="shared" si="13"/>
        <v>1</v>
      </c>
      <c r="O74" s="365">
        <f t="shared" si="17"/>
        <v>0.20000000000000004</v>
      </c>
      <c r="P74" s="549"/>
      <c r="Q74" s="158" t="s">
        <v>350</v>
      </c>
      <c r="AH74" s="682" t="s">
        <v>127</v>
      </c>
      <c r="AI74" s="161" t="s">
        <v>128</v>
      </c>
      <c r="AJ74" s="84"/>
      <c r="AK74" s="84"/>
      <c r="AL74" s="152"/>
      <c r="AM74" s="153"/>
      <c r="AN74" s="152"/>
      <c r="AO74" s="153"/>
    </row>
    <row r="75" spans="2:41" ht="12.75" hidden="1">
      <c r="B75" s="204"/>
      <c r="C75" s="581">
        <f t="shared" si="14"/>
      </c>
      <c r="D75" s="705"/>
      <c r="E75" s="68"/>
      <c r="F75" s="60">
        <f t="shared" si="15"/>
      </c>
      <c r="G75" s="219">
        <f t="shared" si="10"/>
      </c>
      <c r="H75" s="156"/>
      <c r="I75" s="222">
        <f t="shared" si="11"/>
      </c>
      <c r="J75" s="548"/>
      <c r="K75" s="157"/>
      <c r="L75" s="313">
        <f t="shared" si="12"/>
      </c>
      <c r="M75" s="60">
        <f t="shared" si="16"/>
      </c>
      <c r="N75" s="219">
        <f t="shared" si="13"/>
      </c>
      <c r="O75" s="365">
        <f t="shared" si="17"/>
      </c>
      <c r="P75" s="549"/>
      <c r="Q75" s="158"/>
      <c r="AH75" s="682" t="s">
        <v>129</v>
      </c>
      <c r="AI75" s="161" t="s">
        <v>129</v>
      </c>
      <c r="AJ75" s="84"/>
      <c r="AK75" s="84"/>
      <c r="AL75" s="152"/>
      <c r="AM75" s="153"/>
      <c r="AN75" s="152"/>
      <c r="AO75" s="153"/>
    </row>
    <row r="76" spans="2:41" ht="12.75" hidden="1">
      <c r="B76" s="204"/>
      <c r="C76" s="581">
        <f t="shared" si="14"/>
      </c>
      <c r="D76" s="705"/>
      <c r="E76" s="68"/>
      <c r="F76" s="60">
        <f t="shared" si="15"/>
      </c>
      <c r="G76" s="219">
        <f t="shared" si="10"/>
      </c>
      <c r="H76" s="156"/>
      <c r="I76" s="222">
        <f t="shared" si="11"/>
      </c>
      <c r="J76" s="548"/>
      <c r="K76" s="157"/>
      <c r="L76" s="313">
        <f t="shared" si="12"/>
      </c>
      <c r="M76" s="60">
        <f t="shared" si="16"/>
      </c>
      <c r="N76" s="219">
        <f t="shared" si="13"/>
      </c>
      <c r="O76" s="365">
        <f t="shared" si="17"/>
      </c>
      <c r="P76" s="549"/>
      <c r="Q76" s="158"/>
      <c r="AH76" s="682" t="s">
        <v>131</v>
      </c>
      <c r="AI76" s="161" t="s">
        <v>130</v>
      </c>
      <c r="AJ76" s="84"/>
      <c r="AK76" s="84"/>
      <c r="AL76" s="152"/>
      <c r="AM76" s="153"/>
      <c r="AN76" s="152"/>
      <c r="AO76" s="153"/>
    </row>
    <row r="77" spans="2:41" ht="12.75" hidden="1">
      <c r="B77" s="204"/>
      <c r="C77" s="581">
        <f t="shared" si="14"/>
      </c>
      <c r="D77" s="705"/>
      <c r="E77" s="68"/>
      <c r="F77" s="60">
        <f t="shared" si="15"/>
      </c>
      <c r="G77" s="219">
        <f t="shared" si="10"/>
      </c>
      <c r="H77" s="156"/>
      <c r="I77" s="222">
        <f t="shared" si="11"/>
      </c>
      <c r="J77" s="548"/>
      <c r="K77" s="157"/>
      <c r="L77" s="313">
        <f t="shared" si="12"/>
      </c>
      <c r="M77" s="60">
        <f t="shared" si="16"/>
      </c>
      <c r="N77" s="219">
        <f t="shared" si="13"/>
      </c>
      <c r="O77" s="365">
        <f t="shared" si="17"/>
      </c>
      <c r="P77" s="549"/>
      <c r="Q77" s="158"/>
      <c r="AH77" s="682" t="s">
        <v>132</v>
      </c>
      <c r="AI77" s="161" t="s">
        <v>131</v>
      </c>
      <c r="AJ77" s="84"/>
      <c r="AK77" s="84"/>
      <c r="AL77" s="152"/>
      <c r="AM77" s="153"/>
      <c r="AN77" s="152"/>
      <c r="AO77" s="153"/>
    </row>
    <row r="78" spans="2:41" ht="12.75" hidden="1">
      <c r="B78" s="204"/>
      <c r="C78" s="581">
        <f t="shared" si="14"/>
      </c>
      <c r="D78" s="705"/>
      <c r="E78" s="68"/>
      <c r="F78" s="60">
        <f t="shared" si="15"/>
      </c>
      <c r="G78" s="219">
        <f t="shared" si="10"/>
      </c>
      <c r="H78" s="156"/>
      <c r="I78" s="222">
        <f t="shared" si="11"/>
      </c>
      <c r="J78" s="548"/>
      <c r="K78" s="157"/>
      <c r="L78" s="313">
        <f t="shared" si="12"/>
      </c>
      <c r="M78" s="60">
        <f t="shared" si="16"/>
      </c>
      <c r="N78" s="219">
        <f t="shared" si="13"/>
      </c>
      <c r="O78" s="365">
        <f t="shared" si="17"/>
      </c>
      <c r="P78" s="549"/>
      <c r="Q78" s="158"/>
      <c r="AH78" s="682" t="s">
        <v>148</v>
      </c>
      <c r="AI78" s="161" t="s">
        <v>132</v>
      </c>
      <c r="AJ78" s="84"/>
      <c r="AK78" s="84"/>
      <c r="AL78" s="152"/>
      <c r="AM78" s="153"/>
      <c r="AN78" s="152"/>
      <c r="AO78" s="661"/>
    </row>
    <row r="79" spans="2:41" ht="12.75" hidden="1">
      <c r="B79" s="204"/>
      <c r="C79" s="581">
        <f t="shared" si="14"/>
      </c>
      <c r="D79" s="705"/>
      <c r="E79" s="68"/>
      <c r="F79" s="60">
        <f t="shared" si="15"/>
      </c>
      <c r="G79" s="219">
        <f t="shared" si="10"/>
      </c>
      <c r="H79" s="156"/>
      <c r="I79" s="222">
        <f t="shared" si="11"/>
      </c>
      <c r="J79" s="548"/>
      <c r="K79" s="157"/>
      <c r="L79" s="313">
        <f t="shared" si="12"/>
      </c>
      <c r="M79" s="60">
        <f t="shared" si="16"/>
      </c>
      <c r="N79" s="219">
        <f t="shared" si="13"/>
      </c>
      <c r="O79" s="365">
        <f t="shared" si="17"/>
      </c>
      <c r="P79" s="549"/>
      <c r="Q79" s="158"/>
      <c r="AH79" s="682" t="s">
        <v>149</v>
      </c>
      <c r="AI79" s="161" t="s">
        <v>148</v>
      </c>
      <c r="AJ79" s="660"/>
      <c r="AK79" s="660"/>
      <c r="AL79" s="661"/>
      <c r="AM79" s="661"/>
      <c r="AN79" s="661"/>
      <c r="AO79" s="166"/>
    </row>
    <row r="80" spans="2:41" ht="12.75" hidden="1">
      <c r="B80" s="204"/>
      <c r="C80" s="581">
        <f t="shared" si="14"/>
      </c>
      <c r="D80" s="705"/>
      <c r="E80" s="68"/>
      <c r="F80" s="60">
        <f t="shared" si="15"/>
      </c>
      <c r="G80" s="219">
        <f t="shared" si="10"/>
      </c>
      <c r="H80" s="156"/>
      <c r="I80" s="222">
        <f t="shared" si="11"/>
      </c>
      <c r="J80" s="548"/>
      <c r="K80" s="157"/>
      <c r="L80" s="313">
        <f t="shared" si="12"/>
      </c>
      <c r="M80" s="60">
        <f t="shared" si="16"/>
      </c>
      <c r="N80" s="219">
        <f t="shared" si="13"/>
      </c>
      <c r="O80" s="365">
        <f t="shared" si="17"/>
      </c>
      <c r="P80" s="549"/>
      <c r="Q80" s="158"/>
      <c r="AH80" s="80" t="s">
        <v>335</v>
      </c>
      <c r="AI80" s="161" t="s">
        <v>149</v>
      </c>
      <c r="AJ80" s="163"/>
      <c r="AK80" s="164"/>
      <c r="AL80" s="163"/>
      <c r="AM80" s="164"/>
      <c r="AN80" s="165"/>
      <c r="AO80" s="166"/>
    </row>
    <row r="81" spans="2:41" ht="13.5" hidden="1" thickBot="1">
      <c r="B81" s="555"/>
      <c r="C81" s="583">
        <f t="shared" si="14"/>
      </c>
      <c r="D81" s="707"/>
      <c r="E81" s="69"/>
      <c r="F81" s="61">
        <f t="shared" si="15"/>
      </c>
      <c r="G81" s="220">
        <f t="shared" si="10"/>
      </c>
      <c r="H81" s="167"/>
      <c r="I81" s="223">
        <f t="shared" si="11"/>
      </c>
      <c r="J81" s="710"/>
      <c r="K81" s="168"/>
      <c r="L81" s="314">
        <f t="shared" si="12"/>
      </c>
      <c r="M81" s="61">
        <f t="shared" si="16"/>
      </c>
      <c r="N81" s="220">
        <f t="shared" si="13"/>
      </c>
      <c r="O81" s="366">
        <f t="shared" si="17"/>
      </c>
      <c r="P81" s="550"/>
      <c r="Q81" s="371"/>
      <c r="AH81" s="682" t="s">
        <v>336</v>
      </c>
      <c r="AI81" s="80" t="s">
        <v>335</v>
      </c>
      <c r="AJ81" s="163"/>
      <c r="AK81" s="164"/>
      <c r="AL81" s="163"/>
      <c r="AM81" s="164"/>
      <c r="AN81" s="165"/>
      <c r="AO81" s="166"/>
    </row>
    <row r="82" spans="2:44" ht="13.5" thickBot="1">
      <c r="B82" s="169"/>
      <c r="C82" s="170"/>
      <c r="D82" s="704" t="s">
        <v>111</v>
      </c>
      <c r="E82" s="544">
        <f>SUM(E67:E81)</f>
        <v>2.8400000000000003</v>
      </c>
      <c r="F82" s="171">
        <f>IF($E$82&lt;&gt;$N$45,"ERROR - Total area of habitats created must equal total area of habitats lost","")</f>
      </c>
      <c r="G82" s="172"/>
      <c r="H82" s="173"/>
      <c r="I82" s="173"/>
      <c r="J82" s="149"/>
      <c r="K82" s="173"/>
      <c r="L82" s="174"/>
      <c r="M82" s="175"/>
      <c r="N82" s="176"/>
      <c r="O82" s="361"/>
      <c r="P82" s="367"/>
      <c r="Q82" s="368"/>
      <c r="AH82" s="682" t="s">
        <v>337</v>
      </c>
      <c r="AI82" s="161" t="s">
        <v>336</v>
      </c>
      <c r="AJ82" s="163"/>
      <c r="AK82" s="164"/>
      <c r="AL82" s="163"/>
      <c r="AM82" s="164"/>
      <c r="AN82" s="165"/>
      <c r="AO82" s="166"/>
      <c r="AP82" s="110"/>
      <c r="AQ82" s="110"/>
      <c r="AR82" s="110"/>
    </row>
    <row r="83" spans="2:41" ht="39" thickBot="1">
      <c r="B83" s="177"/>
      <c r="C83" s="178"/>
      <c r="D83" s="273" t="s">
        <v>302</v>
      </c>
      <c r="E83" s="349"/>
      <c r="F83" s="274"/>
      <c r="G83" s="275"/>
      <c r="H83" s="276"/>
      <c r="I83" s="277">
        <f>IF($H83&gt;0,(VLOOKUP($H83,$AQ$5:$AR$7,2,FALSE)),"")</f>
      </c>
      <c r="J83" s="278" t="s">
        <v>208</v>
      </c>
      <c r="K83" s="276"/>
      <c r="L83" s="279">
        <f>IF($K83&gt;0,(VLOOKUP($K83,$AQ$17:$AR$23,2,FALSE)),"")</f>
      </c>
      <c r="M83" s="274"/>
      <c r="N83" s="274"/>
      <c r="O83" s="362" t="s">
        <v>279</v>
      </c>
      <c r="P83" s="367"/>
      <c r="Q83" s="368"/>
      <c r="AH83" s="682" t="s">
        <v>151</v>
      </c>
      <c r="AI83" s="161" t="s">
        <v>337</v>
      </c>
      <c r="AJ83" s="163"/>
      <c r="AK83" s="164"/>
      <c r="AL83" s="163"/>
      <c r="AM83" s="164"/>
      <c r="AN83" s="165"/>
      <c r="AO83" s="166"/>
    </row>
    <row r="84" spans="2:44" ht="12.75" hidden="1">
      <c r="B84" s="198"/>
      <c r="C84" s="579">
        <f>IF($D84&gt;0,(VLOOKUP($D84,$AH$3:$AO$50,2,FALSE)),"")</f>
      </c>
      <c r="D84" s="70"/>
      <c r="E84" s="71"/>
      <c r="F84" s="59">
        <f>IF($D84&gt;0,(VLOOKUP($D84,$AH$3:$AO$50,3,FALSE)),"")</f>
      </c>
      <c r="G84" s="216">
        <f aca="true" t="shared" si="18" ref="G84:G98">IF($D84&gt;0,(VLOOKUP($F84,$AQ$5:$AR$10,2,FALSE)),"")</f>
      </c>
      <c r="H84" s="154"/>
      <c r="I84" s="221">
        <f aca="true" t="shared" si="19" ref="I84:I98">IF($H84&gt;0,(VLOOKUP($H84,$AQ$13:$AR$15,2,FALSE)),"")</f>
      </c>
      <c r="J84" s="708"/>
      <c r="K84" s="116"/>
      <c r="L84" s="312">
        <f aca="true" t="shared" si="20" ref="L84:L98">IF($K84&gt;0,(VLOOKUP($K84,$AQ$18:$AR$24,2,FALSE)),"")</f>
      </c>
      <c r="M84" s="59">
        <f>IF($D84&gt;0,(VLOOKUP($D84,$AH$3:$AO$50,7,FALSE)),"")</f>
      </c>
      <c r="N84" s="216">
        <f aca="true" t="shared" si="21" ref="N84:N98">IF($D84&gt;0,(VLOOKUP($M84,$AQ$27:$AR$31,2,FALSE)),"")</f>
      </c>
      <c r="O84" s="267">
        <f aca="true" t="shared" si="22" ref="O84:O98">IF(D84&gt;0,((E84*G84*I84-J84)/L84/N84),"")</f>
      </c>
      <c r="P84" s="554"/>
      <c r="Q84" s="370"/>
      <c r="AH84" s="682" t="s">
        <v>152</v>
      </c>
      <c r="AI84" s="161" t="s">
        <v>151</v>
      </c>
      <c r="AJ84" s="163"/>
      <c r="AK84" s="164"/>
      <c r="AL84" s="163"/>
      <c r="AM84" s="164"/>
      <c r="AN84" s="165"/>
      <c r="AO84" s="164"/>
      <c r="AP84" s="110"/>
      <c r="AQ84" s="110"/>
      <c r="AR84" s="110"/>
    </row>
    <row r="85" spans="2:41" ht="12.75">
      <c r="B85" s="204"/>
      <c r="C85" s="581" t="str">
        <f aca="true" t="shared" si="23" ref="C85:C98">IF($D85&gt;0,(VLOOKUP($D85,$AH$3:$AO$50,2,FALSE)),"")</f>
        <v>B22</v>
      </c>
      <c r="D85" s="72" t="s">
        <v>155</v>
      </c>
      <c r="E85" s="73">
        <v>0.46</v>
      </c>
      <c r="F85" s="60" t="str">
        <f aca="true" t="shared" si="24" ref="F85:F98">IF($D85&gt;0,(VLOOKUP($D85,$AH$3:$AO$50,3,FALSE)),"")</f>
        <v>Medium</v>
      </c>
      <c r="G85" s="219">
        <f t="shared" si="18"/>
        <v>4</v>
      </c>
      <c r="H85" s="156" t="s">
        <v>53</v>
      </c>
      <c r="I85" s="222">
        <f t="shared" si="19"/>
        <v>2</v>
      </c>
      <c r="J85" s="179">
        <v>1.38</v>
      </c>
      <c r="K85" s="157" t="s">
        <v>87</v>
      </c>
      <c r="L85" s="313">
        <f t="shared" si="20"/>
        <v>1.4</v>
      </c>
      <c r="M85" s="60" t="str">
        <f aca="true" t="shared" si="25" ref="M85:M98">IF($D85&gt;0,(VLOOKUP($D85,$AH$3:$AO$50,7,FALSE)),"")</f>
        <v>Low</v>
      </c>
      <c r="N85" s="219">
        <f t="shared" si="21"/>
        <v>1</v>
      </c>
      <c r="O85" s="711">
        <f t="shared" si="22"/>
        <v>1.6428571428571432</v>
      </c>
      <c r="P85" s="549"/>
      <c r="Q85" s="158" t="s">
        <v>349</v>
      </c>
      <c r="AH85" s="682" t="s">
        <v>153</v>
      </c>
      <c r="AI85" s="161" t="s">
        <v>152</v>
      </c>
      <c r="AJ85" s="163"/>
      <c r="AK85" s="164"/>
      <c r="AL85" s="163"/>
      <c r="AM85" s="164"/>
      <c r="AN85" s="163"/>
      <c r="AO85" s="166"/>
    </row>
    <row r="86" spans="2:41" ht="12.75">
      <c r="B86" s="204"/>
      <c r="C86" s="581" t="str">
        <f t="shared" si="23"/>
        <v>B22</v>
      </c>
      <c r="D86" s="72" t="s">
        <v>155</v>
      </c>
      <c r="E86" s="73">
        <v>0.7</v>
      </c>
      <c r="F86" s="60" t="s">
        <v>76</v>
      </c>
      <c r="G86" s="219">
        <f t="shared" si="18"/>
        <v>4</v>
      </c>
      <c r="H86" s="156" t="s">
        <v>70</v>
      </c>
      <c r="I86" s="222">
        <f t="shared" si="19"/>
        <v>3</v>
      </c>
      <c r="J86" s="179">
        <v>2.1</v>
      </c>
      <c r="K86" s="157" t="s">
        <v>87</v>
      </c>
      <c r="L86" s="313">
        <f t="shared" si="20"/>
        <v>1.4</v>
      </c>
      <c r="M86" s="60" t="str">
        <f t="shared" si="25"/>
        <v>Low</v>
      </c>
      <c r="N86" s="219">
        <f t="shared" si="21"/>
        <v>1</v>
      </c>
      <c r="O86" s="711">
        <f t="shared" si="22"/>
        <v>4.499999999999999</v>
      </c>
      <c r="P86" s="549"/>
      <c r="Q86" s="158" t="s">
        <v>348</v>
      </c>
      <c r="AH86" s="682" t="s">
        <v>154</v>
      </c>
      <c r="AI86" s="161" t="s">
        <v>153</v>
      </c>
      <c r="AJ86" s="163"/>
      <c r="AK86" s="164"/>
      <c r="AL86" s="163"/>
      <c r="AM86" s="164"/>
      <c r="AN86" s="165"/>
      <c r="AO86" s="166"/>
    </row>
    <row r="87" spans="2:41" ht="13.5" thickBot="1">
      <c r="B87" s="204"/>
      <c r="C87" s="581">
        <f t="shared" si="23"/>
      </c>
      <c r="D87" s="72"/>
      <c r="E87" s="73"/>
      <c r="F87" s="60">
        <f t="shared" si="24"/>
      </c>
      <c r="G87" s="219">
        <f t="shared" si="18"/>
      </c>
      <c r="H87" s="156"/>
      <c r="I87" s="222">
        <f t="shared" si="19"/>
      </c>
      <c r="J87" s="179"/>
      <c r="K87" s="157"/>
      <c r="L87" s="313">
        <f t="shared" si="20"/>
      </c>
      <c r="M87" s="60">
        <f t="shared" si="25"/>
      </c>
      <c r="N87" s="219">
        <f t="shared" si="21"/>
      </c>
      <c r="O87" s="711">
        <f t="shared" si="22"/>
      </c>
      <c r="P87" s="549"/>
      <c r="Q87" s="158"/>
      <c r="AH87" s="682" t="s">
        <v>155</v>
      </c>
      <c r="AI87" s="161" t="s">
        <v>154</v>
      </c>
      <c r="AJ87" s="163"/>
      <c r="AK87" s="164"/>
      <c r="AL87" s="163"/>
      <c r="AM87" s="164"/>
      <c r="AN87" s="165"/>
      <c r="AO87" s="166"/>
    </row>
    <row r="88" spans="2:41" ht="12.75" hidden="1">
      <c r="B88" s="204"/>
      <c r="C88" s="581">
        <f t="shared" si="23"/>
      </c>
      <c r="D88" s="72"/>
      <c r="E88" s="73"/>
      <c r="F88" s="60">
        <f t="shared" si="24"/>
      </c>
      <c r="G88" s="219">
        <f t="shared" si="18"/>
      </c>
      <c r="H88" s="156"/>
      <c r="I88" s="222">
        <f t="shared" si="19"/>
      </c>
      <c r="J88" s="179"/>
      <c r="K88" s="157"/>
      <c r="L88" s="313">
        <f t="shared" si="20"/>
      </c>
      <c r="M88" s="60">
        <f t="shared" si="25"/>
      </c>
      <c r="N88" s="219">
        <f t="shared" si="21"/>
      </c>
      <c r="O88" s="711">
        <f t="shared" si="22"/>
      </c>
      <c r="P88" s="549"/>
      <c r="Q88" s="158"/>
      <c r="AH88" s="682" t="s">
        <v>156</v>
      </c>
      <c r="AI88" s="161" t="s">
        <v>155</v>
      </c>
      <c r="AJ88" s="163"/>
      <c r="AK88" s="164"/>
      <c r="AL88" s="163"/>
      <c r="AM88" s="164"/>
      <c r="AN88" s="165"/>
      <c r="AO88" s="166"/>
    </row>
    <row r="89" spans="2:41" ht="12.75" hidden="1">
      <c r="B89" s="204"/>
      <c r="C89" s="581">
        <f t="shared" si="23"/>
      </c>
      <c r="D89" s="72"/>
      <c r="E89" s="73"/>
      <c r="F89" s="60">
        <f t="shared" si="24"/>
      </c>
      <c r="G89" s="219">
        <f t="shared" si="18"/>
      </c>
      <c r="H89" s="156"/>
      <c r="I89" s="222">
        <f t="shared" si="19"/>
      </c>
      <c r="J89" s="179"/>
      <c r="K89" s="157"/>
      <c r="L89" s="313">
        <f t="shared" si="20"/>
      </c>
      <c r="M89" s="60">
        <f t="shared" si="25"/>
      </c>
      <c r="N89" s="219">
        <f t="shared" si="21"/>
      </c>
      <c r="O89" s="711">
        <f t="shared" si="22"/>
      </c>
      <c r="P89" s="549"/>
      <c r="Q89" s="158"/>
      <c r="AH89" s="682" t="s">
        <v>157</v>
      </c>
      <c r="AI89" s="161" t="s">
        <v>156</v>
      </c>
      <c r="AJ89" s="163"/>
      <c r="AK89" s="164"/>
      <c r="AL89" s="163"/>
      <c r="AM89" s="164"/>
      <c r="AN89" s="165"/>
      <c r="AO89" s="166"/>
    </row>
    <row r="90" spans="2:41" ht="12.75" hidden="1">
      <c r="B90" s="204"/>
      <c r="C90" s="581">
        <f t="shared" si="23"/>
      </c>
      <c r="D90" s="72"/>
      <c r="E90" s="73"/>
      <c r="F90" s="60">
        <f t="shared" si="24"/>
      </c>
      <c r="G90" s="219">
        <f t="shared" si="18"/>
      </c>
      <c r="H90" s="156"/>
      <c r="I90" s="222">
        <f t="shared" si="19"/>
      </c>
      <c r="J90" s="179"/>
      <c r="K90" s="157"/>
      <c r="L90" s="313">
        <f t="shared" si="20"/>
      </c>
      <c r="M90" s="60">
        <f t="shared" si="25"/>
      </c>
      <c r="N90" s="219">
        <f t="shared" si="21"/>
      </c>
      <c r="O90" s="711">
        <f t="shared" si="22"/>
      </c>
      <c r="P90" s="549"/>
      <c r="Q90" s="158"/>
      <c r="AH90" s="682" t="s">
        <v>162</v>
      </c>
      <c r="AI90" s="161" t="s">
        <v>157</v>
      </c>
      <c r="AJ90" s="163"/>
      <c r="AK90" s="164"/>
      <c r="AL90" s="163"/>
      <c r="AM90" s="164"/>
      <c r="AN90" s="165"/>
      <c r="AO90" s="166"/>
    </row>
    <row r="91" spans="2:41" ht="12.75" hidden="1">
      <c r="B91" s="204"/>
      <c r="C91" s="581">
        <f t="shared" si="23"/>
      </c>
      <c r="D91" s="72"/>
      <c r="E91" s="73"/>
      <c r="F91" s="60">
        <f t="shared" si="24"/>
      </c>
      <c r="G91" s="219">
        <f t="shared" si="18"/>
      </c>
      <c r="H91" s="156"/>
      <c r="I91" s="222">
        <f t="shared" si="19"/>
      </c>
      <c r="J91" s="179"/>
      <c r="K91" s="157"/>
      <c r="L91" s="313">
        <f t="shared" si="20"/>
      </c>
      <c r="M91" s="60">
        <f t="shared" si="25"/>
      </c>
      <c r="N91" s="219">
        <f t="shared" si="21"/>
      </c>
      <c r="O91" s="711">
        <f t="shared" si="22"/>
      </c>
      <c r="P91" s="549"/>
      <c r="Q91" s="158"/>
      <c r="AH91" s="682" t="s">
        <v>210</v>
      </c>
      <c r="AI91" s="161" t="s">
        <v>162</v>
      </c>
      <c r="AJ91" s="163"/>
      <c r="AK91" s="164"/>
      <c r="AL91" s="163"/>
      <c r="AM91" s="164"/>
      <c r="AN91" s="165"/>
      <c r="AO91" s="166"/>
    </row>
    <row r="92" spans="1:65" s="113" customFormat="1" ht="12.75" hidden="1">
      <c r="A92" s="78"/>
      <c r="B92" s="204"/>
      <c r="C92" s="581">
        <f t="shared" si="23"/>
      </c>
      <c r="D92" s="72"/>
      <c r="E92" s="73"/>
      <c r="F92" s="60">
        <f t="shared" si="24"/>
      </c>
      <c r="G92" s="219">
        <f t="shared" si="18"/>
      </c>
      <c r="H92" s="156"/>
      <c r="I92" s="222">
        <f t="shared" si="19"/>
      </c>
      <c r="J92" s="179"/>
      <c r="K92" s="157"/>
      <c r="L92" s="313">
        <f t="shared" si="20"/>
      </c>
      <c r="M92" s="60">
        <f t="shared" si="25"/>
      </c>
      <c r="N92" s="219">
        <f t="shared" si="21"/>
      </c>
      <c r="O92" s="711">
        <f t="shared" si="22"/>
      </c>
      <c r="P92" s="549"/>
      <c r="Q92" s="158"/>
      <c r="R92" s="78"/>
      <c r="S92" s="78"/>
      <c r="T92" s="78"/>
      <c r="U92" s="78"/>
      <c r="V92" s="78"/>
      <c r="W92" s="78"/>
      <c r="X92" s="78"/>
      <c r="Y92" s="78"/>
      <c r="Z92" s="78"/>
      <c r="AA92" s="77"/>
      <c r="AB92" s="77"/>
      <c r="AC92" s="77"/>
      <c r="AD92" s="77"/>
      <c r="AE92" s="77"/>
      <c r="AF92" s="77"/>
      <c r="AG92" s="80"/>
      <c r="AH92" s="682"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hidden="1">
      <c r="B93" s="204"/>
      <c r="C93" s="581">
        <f t="shared" si="23"/>
      </c>
      <c r="D93" s="74"/>
      <c r="E93" s="73"/>
      <c r="F93" s="60">
        <f t="shared" si="24"/>
      </c>
      <c r="G93" s="219">
        <f t="shared" si="18"/>
      </c>
      <c r="H93" s="156"/>
      <c r="I93" s="222">
        <f t="shared" si="19"/>
      </c>
      <c r="J93" s="179"/>
      <c r="K93" s="157"/>
      <c r="L93" s="313">
        <f t="shared" si="20"/>
      </c>
      <c r="M93" s="60">
        <f t="shared" si="25"/>
      </c>
      <c r="N93" s="219">
        <f t="shared" si="21"/>
      </c>
      <c r="O93" s="711">
        <f t="shared" si="22"/>
      </c>
      <c r="P93" s="549"/>
      <c r="Q93" s="158"/>
      <c r="AH93" s="682" t="s">
        <v>160</v>
      </c>
      <c r="AI93" s="161" t="s">
        <v>161</v>
      </c>
      <c r="AJ93" s="163"/>
      <c r="AK93" s="164"/>
      <c r="AL93" s="163"/>
      <c r="AM93" s="164"/>
      <c r="AN93" s="165"/>
      <c r="AO93" s="166"/>
    </row>
    <row r="94" spans="1:65" s="113" customFormat="1" ht="12.75" hidden="1">
      <c r="A94" s="78"/>
      <c r="B94" s="204"/>
      <c r="C94" s="581">
        <f t="shared" si="23"/>
      </c>
      <c r="D94" s="72"/>
      <c r="E94" s="73"/>
      <c r="F94" s="60">
        <f t="shared" si="24"/>
      </c>
      <c r="G94" s="219">
        <f t="shared" si="18"/>
      </c>
      <c r="H94" s="156"/>
      <c r="I94" s="222">
        <f t="shared" si="19"/>
      </c>
      <c r="J94" s="179"/>
      <c r="K94" s="157"/>
      <c r="L94" s="313">
        <f t="shared" si="20"/>
      </c>
      <c r="M94" s="60">
        <f t="shared" si="25"/>
      </c>
      <c r="N94" s="219">
        <f t="shared" si="21"/>
      </c>
      <c r="O94" s="711">
        <f t="shared" si="22"/>
      </c>
      <c r="P94" s="549"/>
      <c r="Q94" s="158"/>
      <c r="R94" s="78"/>
      <c r="S94" s="78"/>
      <c r="T94" s="78"/>
      <c r="U94" s="78"/>
      <c r="V94" s="78"/>
      <c r="W94" s="78"/>
      <c r="X94" s="78"/>
      <c r="Y94" s="78"/>
      <c r="Z94" s="78"/>
      <c r="AA94" s="77"/>
      <c r="AB94" s="77"/>
      <c r="AC94" s="77"/>
      <c r="AD94" s="77"/>
      <c r="AE94" s="77"/>
      <c r="AF94" s="77"/>
      <c r="AG94" s="80"/>
      <c r="AH94" s="682"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hidden="1">
      <c r="B95" s="204"/>
      <c r="C95" s="581">
        <f t="shared" si="23"/>
      </c>
      <c r="D95" s="72"/>
      <c r="E95" s="73"/>
      <c r="F95" s="60">
        <f t="shared" si="24"/>
      </c>
      <c r="G95" s="219">
        <f t="shared" si="18"/>
      </c>
      <c r="H95" s="156"/>
      <c r="I95" s="222">
        <f t="shared" si="19"/>
      </c>
      <c r="J95" s="179"/>
      <c r="K95" s="157"/>
      <c r="L95" s="313">
        <f t="shared" si="20"/>
      </c>
      <c r="M95" s="60">
        <f t="shared" si="25"/>
      </c>
      <c r="N95" s="219">
        <f t="shared" si="21"/>
      </c>
      <c r="O95" s="711">
        <f t="shared" si="22"/>
      </c>
      <c r="P95" s="549"/>
      <c r="Q95" s="158"/>
      <c r="AH95" s="682" t="s">
        <v>169</v>
      </c>
      <c r="AI95" s="161" t="s">
        <v>169</v>
      </c>
      <c r="AJ95" s="163"/>
      <c r="AK95" s="164"/>
      <c r="AL95" s="163"/>
      <c r="AM95" s="164"/>
      <c r="AN95" s="165"/>
      <c r="AO95" s="166"/>
    </row>
    <row r="96" spans="2:41" ht="12.75" hidden="1">
      <c r="B96" s="204"/>
      <c r="C96" s="581">
        <f t="shared" si="23"/>
      </c>
      <c r="D96" s="72"/>
      <c r="E96" s="73"/>
      <c r="F96" s="60">
        <f t="shared" si="24"/>
      </c>
      <c r="G96" s="219">
        <f t="shared" si="18"/>
      </c>
      <c r="H96" s="156"/>
      <c r="I96" s="222">
        <f t="shared" si="19"/>
      </c>
      <c r="J96" s="179"/>
      <c r="K96" s="157"/>
      <c r="L96" s="313">
        <f t="shared" si="20"/>
      </c>
      <c r="M96" s="60">
        <f t="shared" si="25"/>
      </c>
      <c r="N96" s="219">
        <f t="shared" si="21"/>
      </c>
      <c r="O96" s="711">
        <f t="shared" si="22"/>
      </c>
      <c r="P96" s="549"/>
      <c r="Q96" s="158"/>
      <c r="AH96" s="682" t="s">
        <v>170</v>
      </c>
      <c r="AI96" s="161" t="s">
        <v>170</v>
      </c>
      <c r="AJ96" s="163"/>
      <c r="AK96" s="164"/>
      <c r="AL96" s="163"/>
      <c r="AM96" s="164"/>
      <c r="AN96" s="165"/>
      <c r="AO96" s="166"/>
    </row>
    <row r="97" spans="1:65" s="113" customFormat="1" ht="12.75" hidden="1">
      <c r="A97" s="78"/>
      <c r="B97" s="204"/>
      <c r="C97" s="581">
        <f t="shared" si="23"/>
      </c>
      <c r="D97" s="72"/>
      <c r="E97" s="73"/>
      <c r="F97" s="60">
        <f t="shared" si="24"/>
      </c>
      <c r="G97" s="219">
        <f t="shared" si="18"/>
      </c>
      <c r="H97" s="156"/>
      <c r="I97" s="222">
        <f t="shared" si="19"/>
      </c>
      <c r="J97" s="179"/>
      <c r="K97" s="157"/>
      <c r="L97" s="313">
        <f t="shared" si="20"/>
      </c>
      <c r="M97" s="60">
        <f t="shared" si="25"/>
      </c>
      <c r="N97" s="219">
        <f t="shared" si="21"/>
      </c>
      <c r="O97" s="711">
        <f t="shared" si="22"/>
      </c>
      <c r="P97" s="549"/>
      <c r="Q97" s="158"/>
      <c r="R97" s="78"/>
      <c r="S97" s="78"/>
      <c r="T97" s="78"/>
      <c r="U97" s="78"/>
      <c r="V97" s="78"/>
      <c r="W97" s="78"/>
      <c r="X97" s="78"/>
      <c r="Y97" s="78"/>
      <c r="Z97" s="78"/>
      <c r="AA97" s="77"/>
      <c r="AB97" s="77"/>
      <c r="AC97" s="77"/>
      <c r="AD97" s="77"/>
      <c r="AE97" s="77"/>
      <c r="AF97" s="77"/>
      <c r="AG97" s="80"/>
      <c r="AH97" s="682"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hidden="1" thickBot="1">
      <c r="B98" s="555"/>
      <c r="C98" s="583">
        <f t="shared" si="23"/>
      </c>
      <c r="D98" s="75"/>
      <c r="E98" s="76"/>
      <c r="F98" s="61">
        <f t="shared" si="24"/>
      </c>
      <c r="G98" s="220">
        <f t="shared" si="18"/>
      </c>
      <c r="H98" s="167"/>
      <c r="I98" s="223">
        <f t="shared" si="19"/>
      </c>
      <c r="J98" s="180"/>
      <c r="K98" s="168"/>
      <c r="L98" s="314">
        <f t="shared" si="20"/>
      </c>
      <c r="M98" s="61">
        <f t="shared" si="25"/>
      </c>
      <c r="N98" s="220">
        <f t="shared" si="21"/>
      </c>
      <c r="O98" s="712">
        <f t="shared" si="22"/>
      </c>
      <c r="P98" s="550"/>
      <c r="Q98" s="371"/>
      <c r="AH98" s="682" t="s">
        <v>164</v>
      </c>
      <c r="AI98" s="161" t="s">
        <v>164</v>
      </c>
      <c r="AJ98" s="163"/>
      <c r="AK98" s="164"/>
      <c r="AL98" s="163"/>
      <c r="AM98" s="164"/>
      <c r="AN98" s="165"/>
      <c r="AO98" s="166"/>
    </row>
    <row r="99" spans="2:41" ht="13.5" customHeight="1" thickBot="1">
      <c r="B99" s="500"/>
      <c r="C99" s="170"/>
      <c r="D99" s="556" t="s">
        <v>111</v>
      </c>
      <c r="E99" s="544">
        <f>SUM(E84:E98)</f>
        <v>1.16</v>
      </c>
      <c r="F99" s="171">
        <f>IF($E$99&lt;&gt;$L$45,"ERROR - Total area of habitats enhancement must equal total area of habitats to be enhanced, above","")</f>
      </c>
      <c r="G99" s="517"/>
      <c r="H99" s="599"/>
      <c r="I99" s="599"/>
      <c r="J99" s="599"/>
      <c r="K99" s="600"/>
      <c r="L99" s="601"/>
      <c r="M99" s="271"/>
      <c r="N99" s="270" t="s">
        <v>213</v>
      </c>
      <c r="O99" s="602">
        <f>'Habitat trading down correction'!J86</f>
        <v>-0.29666666666666686</v>
      </c>
      <c r="P99" s="487"/>
      <c r="Q99" s="135"/>
      <c r="AA99" s="78"/>
      <c r="AB99" s="78"/>
      <c r="AC99" s="78"/>
      <c r="AD99" s="78"/>
      <c r="AE99" s="78"/>
      <c r="AF99" s="78"/>
      <c r="AG99" s="110"/>
      <c r="AH99" s="682" t="s">
        <v>165</v>
      </c>
      <c r="AI99" s="161" t="s">
        <v>165</v>
      </c>
      <c r="AJ99" s="163"/>
      <c r="AK99" s="164"/>
      <c r="AL99" s="163"/>
      <c r="AM99" s="164"/>
      <c r="AN99" s="165"/>
      <c r="AO99" s="164"/>
    </row>
    <row r="100" spans="2:41" ht="12.75" customHeight="1" thickBot="1">
      <c r="B100" s="560"/>
      <c r="C100" s="182"/>
      <c r="D100" s="561"/>
      <c r="E100" s="561"/>
      <c r="F100" s="562">
        <f>IF(($E$99&gt;0)*AND(SUM($J$84:$J$98)&lt;&gt;$M$45),"ERROR - Please enter respective existing values for habitats to be enhanced","")</f>
      </c>
      <c r="G100" s="182"/>
      <c r="H100" s="182"/>
      <c r="I100" s="182"/>
      <c r="J100" s="561"/>
      <c r="K100" s="603"/>
      <c r="L100" s="604"/>
      <c r="M100" s="605"/>
      <c r="N100" s="565" t="s">
        <v>251</v>
      </c>
      <c r="O100" s="606">
        <f>SUM(O67:O99)</f>
        <v>7.719999999999999</v>
      </c>
      <c r="P100" s="560"/>
      <c r="Q100" s="363"/>
      <c r="AH100" s="682" t="s">
        <v>166</v>
      </c>
      <c r="AI100" s="161" t="s">
        <v>166</v>
      </c>
      <c r="AJ100" s="163"/>
      <c r="AK100" s="164"/>
      <c r="AL100" s="163"/>
      <c r="AM100" s="164"/>
      <c r="AN100" s="163"/>
      <c r="AO100" s="164"/>
    </row>
    <row r="101" spans="2:41" ht="26.25" thickBot="1">
      <c r="B101" s="186"/>
      <c r="C101" s="115"/>
      <c r="D101" s="115"/>
      <c r="E101" s="115"/>
      <c r="F101" s="115"/>
      <c r="G101" s="115"/>
      <c r="H101" s="115"/>
      <c r="I101" s="115"/>
      <c r="J101" s="485"/>
      <c r="K101" s="485"/>
      <c r="L101" s="524"/>
      <c r="M101" s="540"/>
      <c r="N101" s="568"/>
      <c r="O101" s="569" t="s">
        <v>276</v>
      </c>
      <c r="P101" s="570"/>
      <c r="AH101" s="682" t="s">
        <v>167</v>
      </c>
      <c r="AI101" s="161" t="s">
        <v>167</v>
      </c>
      <c r="AJ101" s="163"/>
      <c r="AK101" s="164"/>
      <c r="AL101" s="163"/>
      <c r="AM101" s="164"/>
      <c r="AN101" s="163"/>
      <c r="AO101" s="166"/>
    </row>
    <row r="102" spans="2:41" ht="13.5" thickBot="1">
      <c r="B102" s="186"/>
      <c r="C102" s="115"/>
      <c r="D102" s="545"/>
      <c r="E102" s="115"/>
      <c r="F102" s="115"/>
      <c r="G102" s="115"/>
      <c r="H102" s="485"/>
      <c r="I102" s="485"/>
      <c r="J102" s="485"/>
      <c r="K102" s="485"/>
      <c r="L102" s="607"/>
      <c r="M102" s="608"/>
      <c r="N102" s="572" t="s">
        <v>275</v>
      </c>
      <c r="O102" s="609">
        <f>(O100-O61)</f>
        <v>-0.7100000000000026</v>
      </c>
      <c r="P102" s="612" t="str">
        <f>IF($O$102&lt;0,"Loss",IF($O$102&gt;0,"Gain",""))</f>
        <v>Loss</v>
      </c>
      <c r="Q102" s="78"/>
      <c r="AH102" s="682" t="s">
        <v>188</v>
      </c>
      <c r="AI102" s="161" t="s">
        <v>188</v>
      </c>
      <c r="AJ102" s="163"/>
      <c r="AK102" s="164"/>
      <c r="AL102" s="163"/>
      <c r="AM102" s="164"/>
      <c r="AN102" s="165"/>
      <c r="AO102" s="166"/>
    </row>
    <row r="103" spans="2:41" ht="13.5" thickBot="1">
      <c r="B103" s="186"/>
      <c r="C103" s="115"/>
      <c r="D103" s="545"/>
      <c r="E103" s="485"/>
      <c r="F103" s="485"/>
      <c r="G103" s="485"/>
      <c r="H103" s="485"/>
      <c r="I103" s="485"/>
      <c r="J103" s="485"/>
      <c r="K103" s="485"/>
      <c r="L103" s="610"/>
      <c r="M103" s="611"/>
      <c r="N103" s="350" t="s">
        <v>254</v>
      </c>
      <c r="O103" s="613">
        <f>IF(O102&lt;0,-(100/O61)*O102,"")</f>
        <v>8.422301304863613</v>
      </c>
      <c r="P103" s="578"/>
      <c r="Q103" s="77"/>
      <c r="AH103" s="682"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82" t="s">
        <v>190</v>
      </c>
      <c r="AI104" s="161" t="s">
        <v>190</v>
      </c>
      <c r="AJ104" s="163"/>
      <c r="AK104" s="164"/>
      <c r="AL104" s="163"/>
      <c r="AM104" s="164"/>
      <c r="AN104" s="163"/>
      <c r="AO104" s="166"/>
    </row>
    <row r="105" spans="2:41" ht="13.5" thickBot="1">
      <c r="B105" s="105"/>
      <c r="C105" s="295" t="s">
        <v>5</v>
      </c>
      <c r="D105" s="296"/>
      <c r="E105" s="78"/>
      <c r="F105" s="77"/>
      <c r="G105" s="77"/>
      <c r="H105" s="78"/>
      <c r="I105" s="78"/>
      <c r="J105" s="78"/>
      <c r="K105" s="78"/>
      <c r="L105" s="78"/>
      <c r="M105" s="78"/>
      <c r="N105" s="78"/>
      <c r="O105" s="78"/>
      <c r="P105" s="78"/>
      <c r="Q105" s="78"/>
      <c r="AH105" s="682"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82" t="s">
        <v>137</v>
      </c>
      <c r="AI106" s="161" t="s">
        <v>137</v>
      </c>
      <c r="AJ106" s="163"/>
      <c r="AK106" s="164"/>
      <c r="AL106" s="163"/>
      <c r="AM106" s="164"/>
      <c r="AN106" s="165"/>
      <c r="AO106" s="166"/>
    </row>
    <row r="107" spans="2:41" ht="12.75">
      <c r="B107" s="105"/>
      <c r="C107" s="299"/>
      <c r="D107" s="300" t="s">
        <v>74</v>
      </c>
      <c r="E107" s="78"/>
      <c r="F107" s="77"/>
      <c r="G107" s="77"/>
      <c r="H107" s="78"/>
      <c r="I107" s="78"/>
      <c r="J107" s="78"/>
      <c r="K107" s="78"/>
      <c r="L107" s="78"/>
      <c r="M107" s="78"/>
      <c r="N107" s="78"/>
      <c r="O107" s="78"/>
      <c r="P107" s="78"/>
      <c r="Q107" s="78"/>
      <c r="AH107" s="682" t="s">
        <v>329</v>
      </c>
      <c r="AI107" s="161" t="s">
        <v>140</v>
      </c>
      <c r="AJ107" s="163"/>
      <c r="AK107" s="164"/>
      <c r="AL107" s="163"/>
      <c r="AM107" s="164"/>
      <c r="AN107" s="165"/>
      <c r="AO107" s="166"/>
    </row>
    <row r="108" spans="2:41" ht="13.5" thickBot="1">
      <c r="B108" s="105"/>
      <c r="C108" s="301"/>
      <c r="D108" s="300" t="s">
        <v>122</v>
      </c>
      <c r="E108" s="78"/>
      <c r="F108" s="77"/>
      <c r="G108" s="77"/>
      <c r="H108" s="78"/>
      <c r="I108" s="78"/>
      <c r="J108" s="78"/>
      <c r="K108" s="78"/>
      <c r="L108" s="78"/>
      <c r="M108" s="78"/>
      <c r="N108" s="78"/>
      <c r="O108" s="78"/>
      <c r="P108" s="78"/>
      <c r="Q108" s="78"/>
      <c r="AH108" s="682" t="s">
        <v>134</v>
      </c>
      <c r="AI108" s="685" t="s">
        <v>327</v>
      </c>
      <c r="AJ108" s="163"/>
      <c r="AK108" s="164"/>
      <c r="AL108" s="163"/>
      <c r="AM108" s="164"/>
      <c r="AN108" s="165"/>
      <c r="AO108" s="166"/>
    </row>
    <row r="109" spans="2:41" ht="12.75">
      <c r="B109" s="105"/>
      <c r="C109" s="302"/>
      <c r="D109" s="300" t="s">
        <v>7</v>
      </c>
      <c r="E109" s="78"/>
      <c r="F109" s="77"/>
      <c r="G109" s="77"/>
      <c r="H109" s="78"/>
      <c r="I109" s="78"/>
      <c r="J109" s="78"/>
      <c r="K109" s="78"/>
      <c r="L109" s="78"/>
      <c r="M109" s="78"/>
      <c r="N109" s="78"/>
      <c r="O109" s="78"/>
      <c r="P109" s="78"/>
      <c r="Q109" s="78"/>
      <c r="AH109" s="161" t="s">
        <v>135</v>
      </c>
      <c r="AI109" s="687"/>
      <c r="AJ109" s="163"/>
      <c r="AK109" s="164"/>
      <c r="AL109" s="163"/>
      <c r="AM109" s="164"/>
      <c r="AN109" s="165"/>
      <c r="AO109" s="166"/>
    </row>
    <row r="110" spans="2:41" ht="13.5" thickBot="1">
      <c r="B110" s="105"/>
      <c r="C110" s="303"/>
      <c r="D110" s="300" t="s">
        <v>73</v>
      </c>
      <c r="E110" s="78"/>
      <c r="F110" s="78"/>
      <c r="G110" s="78"/>
      <c r="H110" s="78"/>
      <c r="I110" s="78"/>
      <c r="J110" s="78"/>
      <c r="K110" s="78"/>
      <c r="L110" s="78"/>
      <c r="M110" s="78"/>
      <c r="N110" s="78"/>
      <c r="O110" s="78"/>
      <c r="P110" s="78"/>
      <c r="Q110" s="78"/>
      <c r="AH110" s="161" t="s">
        <v>139</v>
      </c>
      <c r="AI110" s="687"/>
      <c r="AJ110" s="163"/>
      <c r="AK110" s="164"/>
      <c r="AL110" s="163"/>
      <c r="AM110" s="164"/>
      <c r="AN110" s="165"/>
      <c r="AO110" s="166"/>
    </row>
    <row r="111" spans="2:41" ht="12.75">
      <c r="B111" s="77"/>
      <c r="C111" s="306" t="s">
        <v>105</v>
      </c>
      <c r="D111" s="726" t="s">
        <v>8</v>
      </c>
      <c r="E111" s="308"/>
      <c r="F111" s="309" t="s">
        <v>82</v>
      </c>
      <c r="G111" s="184"/>
      <c r="H111" s="78"/>
      <c r="I111" s="78"/>
      <c r="J111" s="78"/>
      <c r="K111" s="78"/>
      <c r="L111" s="78"/>
      <c r="M111" s="78"/>
      <c r="N111" s="78"/>
      <c r="O111" s="78"/>
      <c r="P111" s="78"/>
      <c r="Q111" s="78"/>
      <c r="AH111" s="161" t="s">
        <v>140</v>
      </c>
      <c r="AI111" s="687"/>
      <c r="AJ111" s="163"/>
      <c r="AK111" s="164"/>
      <c r="AL111" s="163"/>
      <c r="AM111" s="164"/>
      <c r="AN111" s="165"/>
      <c r="AO111" s="166"/>
    </row>
    <row r="112" spans="2:41" ht="13.5" thickBot="1">
      <c r="B112" s="77"/>
      <c r="C112" s="307"/>
      <c r="D112" s="727"/>
      <c r="E112" s="310"/>
      <c r="F112" s="311" t="s">
        <v>83</v>
      </c>
      <c r="G112" s="185"/>
      <c r="H112" s="78"/>
      <c r="I112" s="78"/>
      <c r="J112" s="78"/>
      <c r="K112" s="78"/>
      <c r="L112" s="78"/>
      <c r="M112" s="78"/>
      <c r="N112" s="78"/>
      <c r="O112" s="78"/>
      <c r="P112" s="78"/>
      <c r="Q112" s="78"/>
      <c r="AH112" s="679" t="s">
        <v>327</v>
      </c>
      <c r="AI112" s="688"/>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3" t="s">
        <v>69</v>
      </c>
      <c r="AI113" s="673"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5"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6"/>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7"/>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9" t="s">
        <v>328</v>
      </c>
      <c r="AI129" s="688"/>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42">
    <mergeCell ref="B58:B59"/>
    <mergeCell ref="B54:B55"/>
    <mergeCell ref="C64:E64"/>
    <mergeCell ref="B52:B53"/>
    <mergeCell ref="B56:B57"/>
    <mergeCell ref="I5:K5"/>
    <mergeCell ref="B50:B51"/>
    <mergeCell ref="F5:H5"/>
    <mergeCell ref="J12:K12"/>
    <mergeCell ref="F9:H9"/>
    <mergeCell ref="C12:E12"/>
    <mergeCell ref="F12:G12"/>
    <mergeCell ref="H12:I12"/>
    <mergeCell ref="B49:C49"/>
    <mergeCell ref="AL2:AM2"/>
    <mergeCell ref="AN2:AO2"/>
    <mergeCell ref="F6:H6"/>
    <mergeCell ref="I9:K9"/>
    <mergeCell ref="I8:K8"/>
    <mergeCell ref="I7:K7"/>
    <mergeCell ref="M5:O5"/>
    <mergeCell ref="M4:O4"/>
    <mergeCell ref="D2:G2"/>
    <mergeCell ref="AJ2:AK2"/>
    <mergeCell ref="I6:K6"/>
    <mergeCell ref="F7:H7"/>
    <mergeCell ref="D111:D112"/>
    <mergeCell ref="M6:O6"/>
    <mergeCell ref="M7:O7"/>
    <mergeCell ref="M8:O8"/>
    <mergeCell ref="M9:O9"/>
    <mergeCell ref="J11:O11"/>
    <mergeCell ref="M47:N47"/>
    <mergeCell ref="K64:L64"/>
    <mergeCell ref="O64:O65"/>
    <mergeCell ref="N12:O12"/>
    <mergeCell ref="M64:N64"/>
    <mergeCell ref="F64:G64"/>
    <mergeCell ref="H64:I64"/>
    <mergeCell ref="F8:H8"/>
    <mergeCell ref="M61:N61"/>
    <mergeCell ref="L12:M12"/>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3:E39 E41:E44 J40 J16:J21 J41:J44 L40 L16:L17 L41:L44 C45:D45 C47:N47 F45:I45 G44 C82:F82 E98 M82:M83 E90 C83 E83:F83 G15 C100:E100 C99:E99 G16 G17 G18 G19 G20 G21 G22 G23 G24 G25 G26 G27 G28 G29 G30 G31 G32 G33 G34 G35 G36 G37 G38 G39 G40 G41 G42 G43 E76 E77 E78 E79 E80 E81 E87 E88 E89 E91 E92 E93 E94 E95 E96 E97 J23:J39 L22:L39 L19:L20"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A1">
      <selection activeCell="L105" sqref="L105"/>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55" t="s">
        <v>256</v>
      </c>
      <c r="E2" s="755"/>
      <c r="F2" s="755"/>
      <c r="G2" s="755"/>
      <c r="H2" s="755"/>
      <c r="I2" s="78"/>
      <c r="J2" s="82"/>
      <c r="K2" s="82"/>
      <c r="L2" s="82"/>
      <c r="M2" s="83" t="s">
        <v>109</v>
      </c>
      <c r="N2" s="83"/>
      <c r="O2" s="78"/>
      <c r="P2" s="78"/>
      <c r="Q2" s="78"/>
      <c r="AH2" s="663" t="s">
        <v>79</v>
      </c>
      <c r="AI2" s="664" t="s">
        <v>12</v>
      </c>
      <c r="AJ2" s="756" t="s">
        <v>0</v>
      </c>
      <c r="AK2" s="757"/>
      <c r="AL2" s="764" t="s">
        <v>115</v>
      </c>
      <c r="AM2" s="765"/>
      <c r="AN2" s="765" t="s">
        <v>75</v>
      </c>
      <c r="AO2" s="766"/>
      <c r="AP2" s="84"/>
      <c r="AQ2" s="84"/>
      <c r="AR2" s="84"/>
    </row>
    <row r="3" spans="2:44" ht="13.5" thickBot="1">
      <c r="B3" s="77"/>
      <c r="C3" s="77"/>
      <c r="D3" s="85"/>
      <c r="E3" s="78"/>
      <c r="F3" s="78"/>
      <c r="G3" s="78"/>
      <c r="H3" s="78"/>
      <c r="I3" s="78"/>
      <c r="J3" s="86"/>
      <c r="K3" s="86"/>
      <c r="L3" s="86"/>
      <c r="M3" s="78"/>
      <c r="N3" s="77"/>
      <c r="O3" s="78"/>
      <c r="P3" s="78"/>
      <c r="Q3" s="78"/>
      <c r="AH3" s="87" t="s">
        <v>171</v>
      </c>
      <c r="AI3" s="674" t="s">
        <v>112</v>
      </c>
      <c r="AJ3" s="88" t="s">
        <v>114</v>
      </c>
      <c r="AK3" s="89">
        <v>0</v>
      </c>
      <c r="AL3" s="88" t="s">
        <v>54</v>
      </c>
      <c r="AM3" s="89">
        <v>1</v>
      </c>
      <c r="AN3" s="677" t="s">
        <v>54</v>
      </c>
      <c r="AO3" s="90">
        <v>1</v>
      </c>
      <c r="AP3" s="84"/>
      <c r="AQ3" s="84"/>
      <c r="AR3" s="84"/>
    </row>
    <row r="4" spans="2:44" ht="13.5" thickBot="1">
      <c r="B4" s="77"/>
      <c r="C4" s="295" t="s">
        <v>5</v>
      </c>
      <c r="D4" s="296"/>
      <c r="E4" s="83"/>
      <c r="F4" s="83"/>
      <c r="G4" s="83"/>
      <c r="H4" s="83"/>
      <c r="I4" s="83"/>
      <c r="J4" s="83"/>
      <c r="K4" s="83"/>
      <c r="L4" s="78"/>
      <c r="M4" s="752" t="s">
        <v>225</v>
      </c>
      <c r="N4" s="753"/>
      <c r="O4" s="754"/>
      <c r="P4" s="353"/>
      <c r="Q4" s="77"/>
      <c r="AH4" s="96" t="s">
        <v>172</v>
      </c>
      <c r="AI4" s="134" t="s">
        <v>112</v>
      </c>
      <c r="AJ4" s="97" t="s">
        <v>54</v>
      </c>
      <c r="AK4" s="98">
        <v>1</v>
      </c>
      <c r="AL4" s="97" t="s">
        <v>54</v>
      </c>
      <c r="AM4" s="98">
        <v>1</v>
      </c>
      <c r="AN4" s="678" t="s">
        <v>54</v>
      </c>
      <c r="AO4" s="99">
        <v>1</v>
      </c>
      <c r="AP4" s="84"/>
      <c r="AQ4" s="91" t="s">
        <v>0</v>
      </c>
      <c r="AR4" s="92"/>
    </row>
    <row r="5" spans="2:44" ht="12.75">
      <c r="B5" s="77"/>
      <c r="C5" s="297"/>
      <c r="D5" s="298" t="s">
        <v>81</v>
      </c>
      <c r="E5" s="83"/>
      <c r="F5" s="187" t="s">
        <v>242</v>
      </c>
      <c r="G5" s="86"/>
      <c r="H5" s="86"/>
      <c r="I5" s="86"/>
      <c r="J5" s="93"/>
      <c r="K5" s="93"/>
      <c r="L5" s="93"/>
      <c r="M5" s="749" t="s">
        <v>233</v>
      </c>
      <c r="N5" s="750"/>
      <c r="O5" s="751"/>
      <c r="P5" s="354"/>
      <c r="Q5" s="78"/>
      <c r="AH5" s="96" t="s">
        <v>126</v>
      </c>
      <c r="AI5" s="134" t="s">
        <v>13</v>
      </c>
      <c r="AJ5" s="97" t="s">
        <v>52</v>
      </c>
      <c r="AK5" s="98">
        <v>6</v>
      </c>
      <c r="AL5" s="97" t="s">
        <v>112</v>
      </c>
      <c r="AM5" s="98" t="s">
        <v>110</v>
      </c>
      <c r="AN5" s="678" t="s">
        <v>54</v>
      </c>
      <c r="AO5" s="99">
        <v>1</v>
      </c>
      <c r="AP5" s="84"/>
      <c r="AQ5" s="94" t="s">
        <v>52</v>
      </c>
      <c r="AR5" s="95">
        <v>6</v>
      </c>
    </row>
    <row r="6" spans="2:44" ht="12.75" customHeight="1">
      <c r="B6" s="77"/>
      <c r="C6" s="329"/>
      <c r="D6" s="300" t="s">
        <v>235</v>
      </c>
      <c r="E6" s="83"/>
      <c r="F6" s="786" t="s">
        <v>243</v>
      </c>
      <c r="G6" s="786"/>
      <c r="H6" s="786"/>
      <c r="I6" s="786"/>
      <c r="J6" s="93"/>
      <c r="K6" s="93"/>
      <c r="L6" s="93"/>
      <c r="M6" s="728" t="s">
        <v>234</v>
      </c>
      <c r="N6" s="729"/>
      <c r="O6" s="730"/>
      <c r="P6" s="355"/>
      <c r="Q6" s="78"/>
      <c r="AH6" s="96" t="s">
        <v>127</v>
      </c>
      <c r="AI6" s="134" t="s">
        <v>14</v>
      </c>
      <c r="AJ6" s="97" t="s">
        <v>76</v>
      </c>
      <c r="AK6" s="98">
        <v>4</v>
      </c>
      <c r="AL6" s="97" t="s">
        <v>76</v>
      </c>
      <c r="AM6" s="98">
        <v>1.5</v>
      </c>
      <c r="AN6" s="678" t="s">
        <v>54</v>
      </c>
      <c r="AO6" s="99">
        <v>1</v>
      </c>
      <c r="AP6" s="84"/>
      <c r="AQ6" s="100" t="s">
        <v>307</v>
      </c>
      <c r="AR6" s="101">
        <v>5</v>
      </c>
    </row>
    <row r="7" spans="2:44" ht="13.5" customHeight="1">
      <c r="B7" s="77"/>
      <c r="C7" s="330"/>
      <c r="D7" s="300" t="s">
        <v>122</v>
      </c>
      <c r="E7" s="83"/>
      <c r="F7" s="786"/>
      <c r="G7" s="786"/>
      <c r="H7" s="786"/>
      <c r="I7" s="786"/>
      <c r="J7" s="93"/>
      <c r="K7" s="93"/>
      <c r="L7" s="93"/>
      <c r="M7" s="731" t="s">
        <v>226</v>
      </c>
      <c r="N7" s="732"/>
      <c r="O7" s="733"/>
      <c r="P7" s="356"/>
      <c r="Q7" s="78"/>
      <c r="AH7" s="96" t="s">
        <v>128</v>
      </c>
      <c r="AI7" s="134" t="s">
        <v>15</v>
      </c>
      <c r="AJ7" s="97" t="s">
        <v>76</v>
      </c>
      <c r="AK7" s="98">
        <v>4</v>
      </c>
      <c r="AL7" s="97" t="s">
        <v>112</v>
      </c>
      <c r="AM7" s="98" t="s">
        <v>110</v>
      </c>
      <c r="AN7" s="678" t="s">
        <v>54</v>
      </c>
      <c r="AO7" s="99">
        <v>1</v>
      </c>
      <c r="AP7" s="84"/>
      <c r="AQ7" s="100" t="s">
        <v>76</v>
      </c>
      <c r="AR7" s="101">
        <v>4</v>
      </c>
    </row>
    <row r="8" spans="2:44" ht="13.5" customHeight="1">
      <c r="B8" s="77"/>
      <c r="C8" s="331"/>
      <c r="D8" s="300" t="s">
        <v>7</v>
      </c>
      <c r="E8" s="83"/>
      <c r="F8" s="786"/>
      <c r="G8" s="786"/>
      <c r="H8" s="786"/>
      <c r="I8" s="786"/>
      <c r="J8" s="93"/>
      <c r="K8" s="93"/>
      <c r="L8" s="93"/>
      <c r="M8" s="734" t="s">
        <v>227</v>
      </c>
      <c r="N8" s="735"/>
      <c r="O8" s="736"/>
      <c r="P8" s="356"/>
      <c r="Q8" s="78"/>
      <c r="AH8" s="96" t="s">
        <v>129</v>
      </c>
      <c r="AI8" s="134" t="s">
        <v>16</v>
      </c>
      <c r="AJ8" s="97" t="s">
        <v>54</v>
      </c>
      <c r="AK8" s="98">
        <v>2</v>
      </c>
      <c r="AL8" s="97" t="s">
        <v>76</v>
      </c>
      <c r="AM8" s="98">
        <v>1.5</v>
      </c>
      <c r="AN8" s="678" t="s">
        <v>54</v>
      </c>
      <c r="AO8" s="99">
        <v>1</v>
      </c>
      <c r="AP8" s="84"/>
      <c r="AQ8" s="614" t="s">
        <v>306</v>
      </c>
      <c r="AR8" s="615">
        <v>3</v>
      </c>
    </row>
    <row r="9" spans="2:44" ht="13.5" customHeight="1">
      <c r="B9" s="77"/>
      <c r="C9" s="332"/>
      <c r="D9" s="300" t="s">
        <v>73</v>
      </c>
      <c r="E9" s="83"/>
      <c r="F9" s="786"/>
      <c r="G9" s="786"/>
      <c r="H9" s="786"/>
      <c r="I9" s="786"/>
      <c r="J9" s="93"/>
      <c r="K9" s="93"/>
      <c r="L9" s="102"/>
      <c r="M9" s="737" t="s">
        <v>228</v>
      </c>
      <c r="N9" s="738"/>
      <c r="O9" s="739"/>
      <c r="P9" s="356"/>
      <c r="Q9" s="78"/>
      <c r="AH9" s="96" t="s">
        <v>130</v>
      </c>
      <c r="AI9" s="134" t="s">
        <v>17</v>
      </c>
      <c r="AJ9" s="97" t="s">
        <v>76</v>
      </c>
      <c r="AK9" s="98">
        <v>4</v>
      </c>
      <c r="AL9" s="97" t="s">
        <v>112</v>
      </c>
      <c r="AM9" s="98" t="s">
        <v>110</v>
      </c>
      <c r="AN9" s="678"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8" t="s">
        <v>54</v>
      </c>
      <c r="AO10" s="99">
        <v>1</v>
      </c>
      <c r="AP10" s="84"/>
      <c r="AQ10" s="103" t="s">
        <v>114</v>
      </c>
      <c r="AR10" s="104">
        <v>0</v>
      </c>
    </row>
    <row r="11" spans="4:65" s="105" customFormat="1" ht="13.5" thickBot="1">
      <c r="D11" s="106"/>
      <c r="E11" s="86"/>
      <c r="H11" s="86"/>
      <c r="I11" s="86"/>
      <c r="J11" s="740" t="s">
        <v>239</v>
      </c>
      <c r="K11" s="741"/>
      <c r="L11" s="741"/>
      <c r="M11" s="741"/>
      <c r="N11" s="741"/>
      <c r="O11" s="742"/>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5" t="s">
        <v>236</v>
      </c>
      <c r="D12" s="761"/>
      <c r="E12" s="716"/>
      <c r="F12" s="717" t="s">
        <v>237</v>
      </c>
      <c r="G12" s="718"/>
      <c r="H12" s="717" t="s">
        <v>238</v>
      </c>
      <c r="I12" s="718"/>
      <c r="J12" s="780" t="s">
        <v>240</v>
      </c>
      <c r="K12" s="781"/>
      <c r="L12" s="725" t="s">
        <v>303</v>
      </c>
      <c r="M12" s="725"/>
      <c r="N12" s="747" t="s">
        <v>241</v>
      </c>
      <c r="O12" s="748"/>
      <c r="P12" s="358"/>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8"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304</v>
      </c>
      <c r="F13" s="245" t="s">
        <v>0</v>
      </c>
      <c r="G13" s="246" t="s">
        <v>80</v>
      </c>
      <c r="H13" s="245" t="s">
        <v>1</v>
      </c>
      <c r="I13" s="246" t="s">
        <v>80</v>
      </c>
      <c r="J13" s="230" t="s">
        <v>305</v>
      </c>
      <c r="K13" s="231" t="s">
        <v>197</v>
      </c>
      <c r="L13" s="232" t="s">
        <v>305</v>
      </c>
      <c r="M13" s="233" t="s">
        <v>197</v>
      </c>
      <c r="N13" s="230" t="s">
        <v>305</v>
      </c>
      <c r="O13" s="231" t="s">
        <v>197</v>
      </c>
      <c r="P13" s="374" t="s">
        <v>9</v>
      </c>
      <c r="Q13" s="375"/>
      <c r="AH13" s="96" t="s">
        <v>149</v>
      </c>
      <c r="AI13" s="134" t="s">
        <v>20</v>
      </c>
      <c r="AJ13" s="97" t="s">
        <v>76</v>
      </c>
      <c r="AK13" s="98">
        <v>4</v>
      </c>
      <c r="AL13" s="97" t="s">
        <v>54</v>
      </c>
      <c r="AM13" s="98">
        <v>1</v>
      </c>
      <c r="AN13" s="678" t="s">
        <v>54</v>
      </c>
      <c r="AO13" s="99">
        <v>1</v>
      </c>
      <c r="AP13" s="84"/>
      <c r="AQ13" s="111" t="s">
        <v>70</v>
      </c>
      <c r="AR13" s="112">
        <v>3</v>
      </c>
    </row>
    <row r="14" spans="2:44" ht="26.25" thickBot="1">
      <c r="B14" s="234"/>
      <c r="C14" s="235"/>
      <c r="D14" s="236" t="s">
        <v>291</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8" t="s">
        <v>54</v>
      </c>
      <c r="AO14" s="99">
        <v>1</v>
      </c>
      <c r="AP14" s="84"/>
      <c r="AQ14" s="100" t="s">
        <v>53</v>
      </c>
      <c r="AR14" s="101">
        <v>2</v>
      </c>
    </row>
    <row r="15" spans="1:65" s="118" customFormat="1" ht="13.5" thickBot="1">
      <c r="A15" s="115"/>
      <c r="B15" s="489"/>
      <c r="C15" s="490">
        <f aca="true" t="shared" si="0" ref="C15:C44">IF($D15&gt;0,(VLOOKUP($D15,$AH$52:$AO$68,2,FALSE)),"")</f>
      </c>
      <c r="D15" s="491"/>
      <c r="E15" s="635"/>
      <c r="F15" s="632">
        <f aca="true" t="shared" si="1" ref="F15:F44">IF($D15&gt;0,(VLOOKUP($D15,$AH$52:$AO$68,3,FALSE)),"")</f>
      </c>
      <c r="G15" s="317">
        <f aca="true" t="shared" si="2" ref="G15:G44">IF($D15&gt;0,(VLOOKUP($F15,$AQ$5:$AR$10,2,FALSE)),"")</f>
      </c>
      <c r="H15" s="200"/>
      <c r="I15" s="320">
        <f aca="true" t="shared" si="3" ref="I15:I44">IF($H15&gt;0,(VLOOKUP($H15,$AQ$13:$AR$15,2,FALSE)),"")</f>
      </c>
      <c r="J15" s="190"/>
      <c r="K15" s="323">
        <f>IF(J15&gt;0,(J15*G15*I15),"")</f>
      </c>
      <c r="L15" s="190"/>
      <c r="M15" s="323">
        <f aca="true" t="shared" si="4" ref="M15:M44">IF(L15&gt;0,(L15*G15*I15),"")</f>
      </c>
      <c r="N15" s="326">
        <f>IF((E15-J15-L15)&gt;0,(E15-J15-L15),"")</f>
      </c>
      <c r="O15" s="323">
        <f>IF((D15&gt;0)*AND((E15-J15-L15)&gt;0),(N15*G15*I15),"")</f>
      </c>
      <c r="P15" s="492"/>
      <c r="Q15" s="373"/>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8"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493" t="str">
        <f t="shared" si="0"/>
        <v>J23</v>
      </c>
      <c r="D16" s="494" t="s">
        <v>182</v>
      </c>
      <c r="E16" s="636">
        <v>4.1</v>
      </c>
      <c r="F16" s="633" t="str">
        <f t="shared" si="1"/>
        <v>Medium-High</v>
      </c>
      <c r="G16" s="318">
        <f t="shared" si="2"/>
        <v>5</v>
      </c>
      <c r="H16" s="315" t="s">
        <v>53</v>
      </c>
      <c r="I16" s="321">
        <f t="shared" si="3"/>
        <v>2</v>
      </c>
      <c r="J16" s="192"/>
      <c r="K16" s="324">
        <f aca="true" t="shared" si="5" ref="K16:K44">IF(J16&gt;0,(J16*G16*I16),"")</f>
      </c>
      <c r="L16" s="192">
        <v>4.1</v>
      </c>
      <c r="M16" s="324">
        <f t="shared" si="4"/>
        <v>41</v>
      </c>
      <c r="N16" s="327">
        <f aca="true" t="shared" si="6" ref="N16:N44">IF((E16-J16-L16)&gt;0,(E16-J16-L16),"")</f>
      </c>
      <c r="O16" s="324">
        <f aca="true" t="shared" si="7" ref="O16:O44">IF((D16&gt;0)*AND((E16-J16-L16)&gt;0),(N16*G16*I16),"")</f>
      </c>
      <c r="P16" s="495"/>
      <c r="Q16" s="390"/>
      <c r="AH16" s="96" t="s">
        <v>337</v>
      </c>
      <c r="AI16" s="134" t="s">
        <v>22</v>
      </c>
      <c r="AJ16" s="97" t="s">
        <v>76</v>
      </c>
      <c r="AK16" s="98">
        <v>4</v>
      </c>
      <c r="AL16" s="97" t="s">
        <v>76</v>
      </c>
      <c r="AM16" s="98">
        <v>1.5</v>
      </c>
      <c r="AN16" s="678" t="s">
        <v>54</v>
      </c>
      <c r="AO16" s="99">
        <v>1</v>
      </c>
      <c r="AP16" s="84"/>
      <c r="AQ16" s="84"/>
      <c r="AR16" s="84"/>
    </row>
    <row r="17" spans="2:44" ht="13.5" thickBot="1">
      <c r="B17" s="204"/>
      <c r="C17" s="493">
        <f t="shared" si="0"/>
      </c>
      <c r="D17" s="494"/>
      <c r="E17" s="636"/>
      <c r="F17" s="633">
        <f t="shared" si="1"/>
      </c>
      <c r="G17" s="318">
        <f t="shared" si="2"/>
      </c>
      <c r="H17" s="315"/>
      <c r="I17" s="321">
        <f t="shared" si="3"/>
      </c>
      <c r="J17" s="192"/>
      <c r="K17" s="324">
        <f t="shared" si="5"/>
      </c>
      <c r="L17" s="192"/>
      <c r="M17" s="324">
        <f t="shared" si="4"/>
      </c>
      <c r="N17" s="327">
        <f t="shared" si="6"/>
      </c>
      <c r="O17" s="324">
        <f t="shared" si="7"/>
      </c>
      <c r="P17" s="495"/>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493">
        <f t="shared" si="0"/>
      </c>
      <c r="D18" s="494"/>
      <c r="E18" s="636"/>
      <c r="F18" s="633">
        <f t="shared" si="1"/>
      </c>
      <c r="G18" s="318">
        <f t="shared" si="2"/>
      </c>
      <c r="H18" s="315"/>
      <c r="I18" s="321">
        <f t="shared" si="3"/>
      </c>
      <c r="J18" s="192"/>
      <c r="K18" s="324">
        <f t="shared" si="5"/>
      </c>
      <c r="L18" s="192"/>
      <c r="M18" s="324">
        <f t="shared" si="4"/>
      </c>
      <c r="N18" s="327">
        <f t="shared" si="6"/>
      </c>
      <c r="O18" s="324">
        <f t="shared" si="7"/>
      </c>
      <c r="P18" s="495"/>
      <c r="Q18" s="390"/>
      <c r="AH18" s="96" t="s">
        <v>151</v>
      </c>
      <c r="AI18" s="134" t="s">
        <v>24</v>
      </c>
      <c r="AJ18" s="97" t="s">
        <v>52</v>
      </c>
      <c r="AK18" s="98">
        <v>6</v>
      </c>
      <c r="AL18" s="97" t="s">
        <v>54</v>
      </c>
      <c r="AM18" s="98">
        <v>1</v>
      </c>
      <c r="AN18" s="678" t="s">
        <v>54</v>
      </c>
      <c r="AO18" s="99">
        <v>1</v>
      </c>
      <c r="AP18" s="84"/>
      <c r="AQ18" s="111" t="s">
        <v>86</v>
      </c>
      <c r="AR18" s="112">
        <v>1.2</v>
      </c>
    </row>
    <row r="19" spans="2:44" ht="12.75">
      <c r="B19" s="204"/>
      <c r="C19" s="493">
        <f t="shared" si="0"/>
      </c>
      <c r="D19" s="494"/>
      <c r="E19" s="636"/>
      <c r="F19" s="633">
        <f t="shared" si="1"/>
      </c>
      <c r="G19" s="318">
        <f t="shared" si="2"/>
      </c>
      <c r="H19" s="315"/>
      <c r="I19" s="321">
        <f t="shared" si="3"/>
      </c>
      <c r="J19" s="192"/>
      <c r="K19" s="324">
        <f t="shared" si="5"/>
      </c>
      <c r="L19" s="192"/>
      <c r="M19" s="324">
        <f t="shared" si="4"/>
      </c>
      <c r="N19" s="327">
        <f t="shared" si="6"/>
      </c>
      <c r="O19" s="324">
        <f t="shared" si="7"/>
      </c>
      <c r="P19" s="495"/>
      <c r="Q19" s="390"/>
      <c r="AH19" s="96" t="s">
        <v>152</v>
      </c>
      <c r="AI19" s="134" t="s">
        <v>25</v>
      </c>
      <c r="AJ19" s="97" t="s">
        <v>52</v>
      </c>
      <c r="AK19" s="98">
        <v>6</v>
      </c>
      <c r="AL19" s="97" t="s">
        <v>76</v>
      </c>
      <c r="AM19" s="98">
        <v>1.5</v>
      </c>
      <c r="AN19" s="678" t="s">
        <v>54</v>
      </c>
      <c r="AO19" s="99">
        <v>1</v>
      </c>
      <c r="AP19" s="84"/>
      <c r="AQ19" s="100" t="s">
        <v>87</v>
      </c>
      <c r="AR19" s="101">
        <v>1.4</v>
      </c>
    </row>
    <row r="20" spans="2:44" ht="12.75">
      <c r="B20" s="204"/>
      <c r="C20" s="493">
        <f t="shared" si="0"/>
      </c>
      <c r="D20" s="494"/>
      <c r="E20" s="636"/>
      <c r="F20" s="633">
        <f t="shared" si="1"/>
      </c>
      <c r="G20" s="318">
        <f t="shared" si="2"/>
      </c>
      <c r="H20" s="315"/>
      <c r="I20" s="321">
        <f t="shared" si="3"/>
      </c>
      <c r="J20" s="192"/>
      <c r="K20" s="324">
        <f t="shared" si="5"/>
      </c>
      <c r="L20" s="192"/>
      <c r="M20" s="324">
        <f t="shared" si="4"/>
      </c>
      <c r="N20" s="327">
        <f t="shared" si="6"/>
      </c>
      <c r="O20" s="324">
        <f t="shared" si="7"/>
      </c>
      <c r="P20" s="495"/>
      <c r="Q20" s="390"/>
      <c r="AH20" s="96" t="s">
        <v>153</v>
      </c>
      <c r="AI20" s="134" t="s">
        <v>26</v>
      </c>
      <c r="AJ20" s="97" t="s">
        <v>307</v>
      </c>
      <c r="AK20" s="98">
        <v>5</v>
      </c>
      <c r="AL20" s="97" t="s">
        <v>76</v>
      </c>
      <c r="AM20" s="98">
        <v>1.5</v>
      </c>
      <c r="AN20" s="678" t="s">
        <v>54</v>
      </c>
      <c r="AO20" s="99">
        <v>1</v>
      </c>
      <c r="AP20" s="84"/>
      <c r="AQ20" s="100" t="s">
        <v>88</v>
      </c>
      <c r="AR20" s="101">
        <v>1.7</v>
      </c>
    </row>
    <row r="21" spans="2:44" ht="12.75">
      <c r="B21" s="204"/>
      <c r="C21" s="493">
        <f t="shared" si="0"/>
      </c>
      <c r="D21" s="494"/>
      <c r="E21" s="636"/>
      <c r="F21" s="633">
        <f t="shared" si="1"/>
      </c>
      <c r="G21" s="318">
        <f t="shared" si="2"/>
      </c>
      <c r="H21" s="315"/>
      <c r="I21" s="321">
        <f t="shared" si="3"/>
      </c>
      <c r="J21" s="192"/>
      <c r="K21" s="324">
        <f t="shared" si="5"/>
      </c>
      <c r="L21" s="192"/>
      <c r="M21" s="324">
        <f t="shared" si="4"/>
      </c>
      <c r="N21" s="327">
        <f t="shared" si="6"/>
      </c>
      <c r="O21" s="324">
        <f t="shared" si="7"/>
      </c>
      <c r="P21" s="495"/>
      <c r="Q21" s="390"/>
      <c r="AH21" s="96" t="s">
        <v>154</v>
      </c>
      <c r="AI21" s="134" t="s">
        <v>27</v>
      </c>
      <c r="AJ21" s="97" t="s">
        <v>52</v>
      </c>
      <c r="AK21" s="98">
        <v>6</v>
      </c>
      <c r="AL21" s="97" t="s">
        <v>76</v>
      </c>
      <c r="AM21" s="98">
        <v>1.5</v>
      </c>
      <c r="AN21" s="678" t="s">
        <v>54</v>
      </c>
      <c r="AO21" s="99">
        <v>1</v>
      </c>
      <c r="AP21" s="84"/>
      <c r="AQ21" s="100" t="s">
        <v>89</v>
      </c>
      <c r="AR21" s="101">
        <v>2</v>
      </c>
    </row>
    <row r="22" spans="2:44" ht="12.75">
      <c r="B22" s="204"/>
      <c r="C22" s="493">
        <f t="shared" si="0"/>
      </c>
      <c r="D22" s="494"/>
      <c r="E22" s="636"/>
      <c r="F22" s="633">
        <f t="shared" si="1"/>
      </c>
      <c r="G22" s="318">
        <f t="shared" si="2"/>
      </c>
      <c r="H22" s="315"/>
      <c r="I22" s="321">
        <f t="shared" si="3"/>
      </c>
      <c r="J22" s="192"/>
      <c r="K22" s="324">
        <f t="shared" si="5"/>
      </c>
      <c r="L22" s="192"/>
      <c r="M22" s="324">
        <f t="shared" si="4"/>
      </c>
      <c r="N22" s="327">
        <f t="shared" si="6"/>
      </c>
      <c r="O22" s="324">
        <f t="shared" si="7"/>
      </c>
      <c r="P22" s="495"/>
      <c r="Q22" s="390"/>
      <c r="AH22" s="96" t="s">
        <v>155</v>
      </c>
      <c r="AI22" s="134" t="s">
        <v>28</v>
      </c>
      <c r="AJ22" s="97" t="s">
        <v>76</v>
      </c>
      <c r="AK22" s="98">
        <v>4</v>
      </c>
      <c r="AL22" s="97" t="s">
        <v>76</v>
      </c>
      <c r="AM22" s="98">
        <v>1.5</v>
      </c>
      <c r="AN22" s="678" t="s">
        <v>54</v>
      </c>
      <c r="AO22" s="99">
        <v>1</v>
      </c>
      <c r="AP22" s="84"/>
      <c r="AQ22" s="100" t="s">
        <v>90</v>
      </c>
      <c r="AR22" s="101">
        <v>2.4</v>
      </c>
    </row>
    <row r="23" spans="2:44" ht="12.75">
      <c r="B23" s="204"/>
      <c r="C23" s="493">
        <f t="shared" si="0"/>
      </c>
      <c r="D23" s="494"/>
      <c r="E23" s="636"/>
      <c r="F23" s="633">
        <f t="shared" si="1"/>
      </c>
      <c r="G23" s="318">
        <f t="shared" si="2"/>
      </c>
      <c r="H23" s="315"/>
      <c r="I23" s="321">
        <f t="shared" si="3"/>
      </c>
      <c r="J23" s="192"/>
      <c r="K23" s="324">
        <f t="shared" si="5"/>
      </c>
      <c r="L23" s="192"/>
      <c r="M23" s="324">
        <f t="shared" si="4"/>
      </c>
      <c r="N23" s="327">
        <f t="shared" si="6"/>
      </c>
      <c r="O23" s="324">
        <f t="shared" si="7"/>
      </c>
      <c r="P23" s="495"/>
      <c r="Q23" s="390"/>
      <c r="AH23" s="96" t="s">
        <v>156</v>
      </c>
      <c r="AI23" s="134" t="s">
        <v>29</v>
      </c>
      <c r="AJ23" s="97" t="s">
        <v>52</v>
      </c>
      <c r="AK23" s="98">
        <v>6</v>
      </c>
      <c r="AL23" s="97" t="s">
        <v>76</v>
      </c>
      <c r="AM23" s="98">
        <v>1.5</v>
      </c>
      <c r="AN23" s="678" t="s">
        <v>54</v>
      </c>
      <c r="AO23" s="99">
        <v>1</v>
      </c>
      <c r="AP23" s="84"/>
      <c r="AQ23" s="100" t="s">
        <v>91</v>
      </c>
      <c r="AR23" s="101">
        <v>2.8</v>
      </c>
    </row>
    <row r="24" spans="2:44" ht="13.5" thickBot="1">
      <c r="B24" s="204"/>
      <c r="C24" s="493">
        <f t="shared" si="0"/>
      </c>
      <c r="D24" s="494"/>
      <c r="E24" s="636"/>
      <c r="F24" s="633">
        <f t="shared" si="1"/>
      </c>
      <c r="G24" s="318">
        <f t="shared" si="2"/>
      </c>
      <c r="H24" s="315"/>
      <c r="I24" s="321">
        <f t="shared" si="3"/>
      </c>
      <c r="J24" s="192"/>
      <c r="K24" s="324">
        <f t="shared" si="5"/>
      </c>
      <c r="L24" s="192"/>
      <c r="M24" s="324">
        <f t="shared" si="4"/>
      </c>
      <c r="N24" s="327">
        <f t="shared" si="6"/>
      </c>
      <c r="O24" s="324">
        <f t="shared" si="7"/>
      </c>
      <c r="P24" s="495"/>
      <c r="Q24" s="390"/>
      <c r="AH24" s="96" t="s">
        <v>157</v>
      </c>
      <c r="AI24" s="134" t="s">
        <v>30</v>
      </c>
      <c r="AJ24" s="97" t="s">
        <v>307</v>
      </c>
      <c r="AK24" s="98">
        <v>5</v>
      </c>
      <c r="AL24" s="97" t="s">
        <v>76</v>
      </c>
      <c r="AM24" s="98">
        <v>1.5</v>
      </c>
      <c r="AN24" s="678" t="s">
        <v>54</v>
      </c>
      <c r="AO24" s="99">
        <v>1</v>
      </c>
      <c r="AP24" s="84"/>
      <c r="AQ24" s="103" t="s">
        <v>92</v>
      </c>
      <c r="AR24" s="104">
        <v>3</v>
      </c>
    </row>
    <row r="25" spans="2:44" ht="13.5" thickBot="1">
      <c r="B25" s="204"/>
      <c r="C25" s="493">
        <f t="shared" si="0"/>
      </c>
      <c r="D25" s="494"/>
      <c r="E25" s="636"/>
      <c r="F25" s="633">
        <f t="shared" si="1"/>
      </c>
      <c r="G25" s="318">
        <f t="shared" si="2"/>
      </c>
      <c r="H25" s="315"/>
      <c r="I25" s="321">
        <f t="shared" si="3"/>
      </c>
      <c r="J25" s="192"/>
      <c r="K25" s="324">
        <f t="shared" si="5"/>
      </c>
      <c r="L25" s="192"/>
      <c r="M25" s="324">
        <f t="shared" si="4"/>
      </c>
      <c r="N25" s="327">
        <f t="shared" si="6"/>
      </c>
      <c r="O25" s="324">
        <f t="shared" si="7"/>
      </c>
      <c r="P25" s="495"/>
      <c r="Q25" s="390"/>
      <c r="AH25" s="96" t="s">
        <v>158</v>
      </c>
      <c r="AI25" s="134" t="s">
        <v>33</v>
      </c>
      <c r="AJ25" s="97" t="s">
        <v>306</v>
      </c>
      <c r="AK25" s="98">
        <v>3</v>
      </c>
      <c r="AL25" s="97" t="s">
        <v>76</v>
      </c>
      <c r="AM25" s="98">
        <v>1.5</v>
      </c>
      <c r="AN25" s="678" t="s">
        <v>54</v>
      </c>
      <c r="AO25" s="99">
        <v>1</v>
      </c>
      <c r="AP25" s="84"/>
      <c r="AQ25" s="84"/>
      <c r="AR25" s="84"/>
    </row>
    <row r="26" spans="2:44" ht="13.5" thickBot="1">
      <c r="B26" s="204"/>
      <c r="C26" s="493">
        <f t="shared" si="0"/>
      </c>
      <c r="D26" s="494"/>
      <c r="E26" s="636"/>
      <c r="F26" s="633">
        <f t="shared" si="1"/>
      </c>
      <c r="G26" s="318">
        <f t="shared" si="2"/>
      </c>
      <c r="H26" s="315"/>
      <c r="I26" s="321">
        <f t="shared" si="3"/>
      </c>
      <c r="J26" s="192"/>
      <c r="K26" s="324">
        <f t="shared" si="5"/>
      </c>
      <c r="L26" s="192"/>
      <c r="M26" s="324">
        <f t="shared" si="4"/>
      </c>
      <c r="N26" s="327">
        <f t="shared" si="6"/>
      </c>
      <c r="O26" s="324">
        <f t="shared" si="7"/>
      </c>
      <c r="P26" s="495"/>
      <c r="Q26" s="390"/>
      <c r="AH26" s="96" t="s">
        <v>159</v>
      </c>
      <c r="AI26" s="134" t="s">
        <v>31</v>
      </c>
      <c r="AJ26" s="97" t="s">
        <v>54</v>
      </c>
      <c r="AK26" s="98">
        <v>2</v>
      </c>
      <c r="AL26" s="97" t="s">
        <v>112</v>
      </c>
      <c r="AM26" s="98" t="s">
        <v>110</v>
      </c>
      <c r="AN26" s="678" t="s">
        <v>54</v>
      </c>
      <c r="AO26" s="99">
        <v>1</v>
      </c>
      <c r="AP26" s="84"/>
      <c r="AQ26" s="108" t="s">
        <v>78</v>
      </c>
      <c r="AR26" s="109"/>
    </row>
    <row r="27" spans="2:44" ht="12.75">
      <c r="B27" s="204"/>
      <c r="C27" s="493">
        <f t="shared" si="0"/>
      </c>
      <c r="D27" s="494"/>
      <c r="E27" s="636"/>
      <c r="F27" s="633">
        <f t="shared" si="1"/>
      </c>
      <c r="G27" s="318">
        <f t="shared" si="2"/>
      </c>
      <c r="H27" s="315"/>
      <c r="I27" s="321">
        <f t="shared" si="3"/>
      </c>
      <c r="J27" s="192"/>
      <c r="K27" s="324">
        <f t="shared" si="5"/>
      </c>
      <c r="L27" s="192"/>
      <c r="M27" s="324">
        <f t="shared" si="4"/>
      </c>
      <c r="N27" s="327">
        <f t="shared" si="6"/>
      </c>
      <c r="O27" s="324">
        <f t="shared" si="7"/>
      </c>
      <c r="P27" s="495"/>
      <c r="Q27" s="390"/>
      <c r="AH27" s="96" t="s">
        <v>162</v>
      </c>
      <c r="AI27" s="134" t="s">
        <v>32</v>
      </c>
      <c r="AJ27" s="97" t="s">
        <v>52</v>
      </c>
      <c r="AK27" s="98">
        <v>6</v>
      </c>
      <c r="AL27" s="97" t="s">
        <v>52</v>
      </c>
      <c r="AM27" s="98">
        <v>3</v>
      </c>
      <c r="AN27" s="678" t="s">
        <v>76</v>
      </c>
      <c r="AO27" s="99">
        <v>1.5</v>
      </c>
      <c r="AP27" s="84"/>
      <c r="AQ27" s="111" t="s">
        <v>255</v>
      </c>
      <c r="AR27" s="112">
        <v>10</v>
      </c>
    </row>
    <row r="28" spans="2:44" ht="12.75">
      <c r="B28" s="204"/>
      <c r="C28" s="493">
        <f t="shared" si="0"/>
      </c>
      <c r="D28" s="494"/>
      <c r="E28" s="636"/>
      <c r="F28" s="633">
        <f t="shared" si="1"/>
      </c>
      <c r="G28" s="318">
        <f t="shared" si="2"/>
      </c>
      <c r="H28" s="315"/>
      <c r="I28" s="321">
        <f t="shared" si="3"/>
      </c>
      <c r="J28" s="192"/>
      <c r="K28" s="324">
        <f t="shared" si="5"/>
      </c>
      <c r="L28" s="192"/>
      <c r="M28" s="324">
        <f t="shared" si="4"/>
      </c>
      <c r="N28" s="327">
        <f t="shared" si="6"/>
      </c>
      <c r="O28" s="324">
        <f t="shared" si="7"/>
      </c>
      <c r="P28" s="495"/>
      <c r="Q28" s="390"/>
      <c r="AH28" s="96" t="s">
        <v>210</v>
      </c>
      <c r="AI28" s="134" t="s">
        <v>37</v>
      </c>
      <c r="AJ28" s="97" t="s">
        <v>52</v>
      </c>
      <c r="AK28" s="98">
        <v>6</v>
      </c>
      <c r="AL28" s="97" t="s">
        <v>76</v>
      </c>
      <c r="AM28" s="98">
        <v>1.5</v>
      </c>
      <c r="AN28" s="678" t="s">
        <v>76</v>
      </c>
      <c r="AO28" s="99">
        <v>1.5</v>
      </c>
      <c r="AP28" s="84"/>
      <c r="AQ28" s="100" t="s">
        <v>52</v>
      </c>
      <c r="AR28" s="101">
        <v>3</v>
      </c>
    </row>
    <row r="29" spans="2:44" ht="12.75">
      <c r="B29" s="204"/>
      <c r="C29" s="493">
        <f t="shared" si="0"/>
      </c>
      <c r="D29" s="494"/>
      <c r="E29" s="636"/>
      <c r="F29" s="633">
        <f t="shared" si="1"/>
      </c>
      <c r="G29" s="318">
        <f t="shared" si="2"/>
      </c>
      <c r="H29" s="315"/>
      <c r="I29" s="321">
        <f t="shared" si="3"/>
      </c>
      <c r="J29" s="192"/>
      <c r="K29" s="324">
        <f t="shared" si="5"/>
      </c>
      <c r="L29" s="192"/>
      <c r="M29" s="324">
        <f t="shared" si="4"/>
      </c>
      <c r="N29" s="327">
        <f t="shared" si="6"/>
      </c>
      <c r="O29" s="324">
        <f t="shared" si="7"/>
      </c>
      <c r="P29" s="495"/>
      <c r="Q29" s="390"/>
      <c r="AH29" s="96" t="s">
        <v>161</v>
      </c>
      <c r="AI29" s="134" t="s">
        <v>50</v>
      </c>
      <c r="AJ29" s="97" t="s">
        <v>52</v>
      </c>
      <c r="AK29" s="98">
        <v>6</v>
      </c>
      <c r="AL29" s="97" t="s">
        <v>54</v>
      </c>
      <c r="AM29" s="98">
        <v>1</v>
      </c>
      <c r="AN29" s="97" t="s">
        <v>54</v>
      </c>
      <c r="AO29" s="98">
        <v>1</v>
      </c>
      <c r="AP29" s="84"/>
      <c r="AQ29" s="100" t="s">
        <v>76</v>
      </c>
      <c r="AR29" s="101">
        <v>1.5</v>
      </c>
    </row>
    <row r="30" spans="2:44" ht="12.75">
      <c r="B30" s="204"/>
      <c r="C30" s="493">
        <f t="shared" si="0"/>
      </c>
      <c r="D30" s="494"/>
      <c r="E30" s="636"/>
      <c r="F30" s="633">
        <f t="shared" si="1"/>
      </c>
      <c r="G30" s="318">
        <f t="shared" si="2"/>
      </c>
      <c r="H30" s="315"/>
      <c r="I30" s="321">
        <f t="shared" si="3"/>
      </c>
      <c r="J30" s="192"/>
      <c r="K30" s="324">
        <f t="shared" si="5"/>
      </c>
      <c r="L30" s="192"/>
      <c r="M30" s="324">
        <f t="shared" si="4"/>
      </c>
      <c r="N30" s="327">
        <f t="shared" si="6"/>
      </c>
      <c r="O30" s="324">
        <f>IF((D30&gt;0)*AND((E30-J30-L30)&gt;0),(N30*G30*I30),"")</f>
      </c>
      <c r="P30" s="495"/>
      <c r="Q30" s="390"/>
      <c r="AH30" s="96" t="s">
        <v>160</v>
      </c>
      <c r="AI30" s="134" t="s">
        <v>51</v>
      </c>
      <c r="AJ30" s="97" t="s">
        <v>54</v>
      </c>
      <c r="AK30" s="98">
        <v>2</v>
      </c>
      <c r="AL30" s="97" t="s">
        <v>54</v>
      </c>
      <c r="AM30" s="98">
        <v>1</v>
      </c>
      <c r="AN30" s="97" t="s">
        <v>54</v>
      </c>
      <c r="AO30" s="98">
        <v>1</v>
      </c>
      <c r="AP30" s="84"/>
      <c r="AQ30" s="100" t="s">
        <v>54</v>
      </c>
      <c r="AR30" s="101">
        <v>1</v>
      </c>
    </row>
    <row r="31" spans="2:44" ht="13.5" thickBot="1">
      <c r="B31" s="204"/>
      <c r="C31" s="493">
        <f t="shared" si="0"/>
      </c>
      <c r="D31" s="494"/>
      <c r="E31" s="636"/>
      <c r="F31" s="633">
        <f t="shared" si="1"/>
      </c>
      <c r="G31" s="318">
        <f t="shared" si="2"/>
      </c>
      <c r="H31" s="315"/>
      <c r="I31" s="321">
        <f t="shared" si="3"/>
      </c>
      <c r="J31" s="192"/>
      <c r="K31" s="324">
        <f t="shared" si="5"/>
      </c>
      <c r="L31" s="192"/>
      <c r="M31" s="324">
        <f t="shared" si="4"/>
      </c>
      <c r="N31" s="327">
        <f t="shared" si="6"/>
      </c>
      <c r="O31" s="324">
        <f t="shared" si="7"/>
      </c>
      <c r="P31" s="495"/>
      <c r="Q31" s="390"/>
      <c r="AH31" s="96" t="s">
        <v>168</v>
      </c>
      <c r="AI31" s="134" t="s">
        <v>43</v>
      </c>
      <c r="AJ31" s="97" t="s">
        <v>52</v>
      </c>
      <c r="AK31" s="98">
        <v>6</v>
      </c>
      <c r="AL31" s="97" t="s">
        <v>76</v>
      </c>
      <c r="AM31" s="98">
        <v>1.5</v>
      </c>
      <c r="AN31" s="678" t="s">
        <v>76</v>
      </c>
      <c r="AO31" s="99">
        <v>1.5</v>
      </c>
      <c r="AP31" s="84"/>
      <c r="AQ31" s="103" t="s">
        <v>112</v>
      </c>
      <c r="AR31" s="104">
        <v>0</v>
      </c>
    </row>
    <row r="32" spans="2:42" ht="12.75">
      <c r="B32" s="204"/>
      <c r="C32" s="493">
        <f t="shared" si="0"/>
      </c>
      <c r="D32" s="494"/>
      <c r="E32" s="636"/>
      <c r="F32" s="633">
        <f t="shared" si="1"/>
      </c>
      <c r="G32" s="318">
        <f t="shared" si="2"/>
      </c>
      <c r="H32" s="315"/>
      <c r="I32" s="321">
        <f t="shared" si="3"/>
      </c>
      <c r="J32" s="192"/>
      <c r="K32" s="324">
        <f t="shared" si="5"/>
      </c>
      <c r="L32" s="192"/>
      <c r="M32" s="324">
        <f t="shared" si="4"/>
      </c>
      <c r="N32" s="327">
        <f t="shared" si="6"/>
      </c>
      <c r="O32" s="324">
        <f t="shared" si="7"/>
      </c>
      <c r="P32" s="495"/>
      <c r="Q32" s="390"/>
      <c r="AH32" s="96" t="s">
        <v>169</v>
      </c>
      <c r="AI32" s="134" t="s">
        <v>44</v>
      </c>
      <c r="AJ32" s="97" t="s">
        <v>52</v>
      </c>
      <c r="AK32" s="98">
        <v>6</v>
      </c>
      <c r="AL32" s="97" t="s">
        <v>76</v>
      </c>
      <c r="AM32" s="98">
        <v>1.5</v>
      </c>
      <c r="AN32" s="678" t="s">
        <v>76</v>
      </c>
      <c r="AO32" s="99">
        <v>1.5</v>
      </c>
      <c r="AP32" s="84"/>
    </row>
    <row r="33" spans="2:42" ht="12.75">
      <c r="B33" s="204"/>
      <c r="C33" s="493">
        <f t="shared" si="0"/>
      </c>
      <c r="D33" s="494"/>
      <c r="E33" s="636"/>
      <c r="F33" s="633">
        <f t="shared" si="1"/>
      </c>
      <c r="G33" s="318">
        <f t="shared" si="2"/>
      </c>
      <c r="H33" s="315"/>
      <c r="I33" s="321">
        <f t="shared" si="3"/>
      </c>
      <c r="J33" s="192"/>
      <c r="K33" s="324">
        <f t="shared" si="5"/>
      </c>
      <c r="L33" s="192"/>
      <c r="M33" s="324">
        <f t="shared" si="4"/>
      </c>
      <c r="N33" s="327">
        <f t="shared" si="6"/>
      </c>
      <c r="O33" s="324">
        <f t="shared" si="7"/>
      </c>
      <c r="P33" s="495"/>
      <c r="Q33" s="390"/>
      <c r="AH33" s="96" t="s">
        <v>170</v>
      </c>
      <c r="AI33" s="134" t="s">
        <v>112</v>
      </c>
      <c r="AJ33" s="97" t="s">
        <v>52</v>
      </c>
      <c r="AK33" s="98">
        <v>6</v>
      </c>
      <c r="AL33" s="97" t="s">
        <v>124</v>
      </c>
      <c r="AM33" s="98">
        <v>1</v>
      </c>
      <c r="AN33" s="97" t="s">
        <v>124</v>
      </c>
      <c r="AO33" s="98">
        <v>1</v>
      </c>
      <c r="AP33" s="84"/>
    </row>
    <row r="34" spans="2:42" ht="12.75">
      <c r="B34" s="204"/>
      <c r="C34" s="493">
        <f t="shared" si="0"/>
      </c>
      <c r="D34" s="494"/>
      <c r="E34" s="636"/>
      <c r="F34" s="633">
        <f t="shared" si="1"/>
      </c>
      <c r="G34" s="318">
        <f t="shared" si="2"/>
      </c>
      <c r="H34" s="315"/>
      <c r="I34" s="321">
        <f t="shared" si="3"/>
      </c>
      <c r="J34" s="192"/>
      <c r="K34" s="324">
        <f t="shared" si="5"/>
      </c>
      <c r="L34" s="192"/>
      <c r="M34" s="324">
        <f t="shared" si="4"/>
      </c>
      <c r="N34" s="327">
        <f t="shared" si="6"/>
      </c>
      <c r="O34" s="324">
        <f t="shared" si="7"/>
      </c>
      <c r="P34" s="495"/>
      <c r="Q34" s="390"/>
      <c r="AH34" s="96" t="s">
        <v>163</v>
      </c>
      <c r="AI34" s="134" t="s">
        <v>38</v>
      </c>
      <c r="AJ34" s="97" t="s">
        <v>52</v>
      </c>
      <c r="AK34" s="98">
        <v>6</v>
      </c>
      <c r="AL34" s="97" t="s">
        <v>77</v>
      </c>
      <c r="AM34" s="98">
        <v>10</v>
      </c>
      <c r="AN34" s="678" t="s">
        <v>52</v>
      </c>
      <c r="AO34" s="99">
        <v>3</v>
      </c>
      <c r="AP34" s="84"/>
    </row>
    <row r="35" spans="2:42" ht="12.75">
      <c r="B35" s="204"/>
      <c r="C35" s="493">
        <f t="shared" si="0"/>
      </c>
      <c r="D35" s="494"/>
      <c r="E35" s="636"/>
      <c r="F35" s="633">
        <f t="shared" si="1"/>
      </c>
      <c r="G35" s="318">
        <f t="shared" si="2"/>
      </c>
      <c r="H35" s="315"/>
      <c r="I35" s="321">
        <f t="shared" si="3"/>
      </c>
      <c r="J35" s="192"/>
      <c r="K35" s="324">
        <f t="shared" si="5"/>
      </c>
      <c r="L35" s="192"/>
      <c r="M35" s="324">
        <f t="shared" si="4"/>
      </c>
      <c r="N35" s="327">
        <f t="shared" si="6"/>
      </c>
      <c r="O35" s="324">
        <f t="shared" si="7"/>
      </c>
      <c r="P35" s="495"/>
      <c r="Q35" s="390"/>
      <c r="AH35" s="96" t="s">
        <v>164</v>
      </c>
      <c r="AI35" s="134" t="s">
        <v>39</v>
      </c>
      <c r="AJ35" s="97" t="s">
        <v>52</v>
      </c>
      <c r="AK35" s="98">
        <v>6</v>
      </c>
      <c r="AL35" s="97" t="s">
        <v>52</v>
      </c>
      <c r="AM35" s="98">
        <v>3</v>
      </c>
      <c r="AN35" s="678" t="s">
        <v>76</v>
      </c>
      <c r="AO35" s="99">
        <v>1.5</v>
      </c>
      <c r="AP35" s="84"/>
    </row>
    <row r="36" spans="2:42" ht="12.75">
      <c r="B36" s="204"/>
      <c r="C36" s="493">
        <f t="shared" si="0"/>
      </c>
      <c r="D36" s="494"/>
      <c r="E36" s="636"/>
      <c r="F36" s="633">
        <f t="shared" si="1"/>
      </c>
      <c r="G36" s="318">
        <f t="shared" si="2"/>
      </c>
      <c r="H36" s="315"/>
      <c r="I36" s="321">
        <f t="shared" si="3"/>
      </c>
      <c r="J36" s="192"/>
      <c r="K36" s="324">
        <f t="shared" si="5"/>
      </c>
      <c r="L36" s="192"/>
      <c r="M36" s="324">
        <f t="shared" si="4"/>
      </c>
      <c r="N36" s="327">
        <f t="shared" si="6"/>
      </c>
      <c r="O36" s="324">
        <f t="shared" si="7"/>
      </c>
      <c r="P36" s="495"/>
      <c r="Q36" s="390"/>
      <c r="AH36" s="96" t="s">
        <v>165</v>
      </c>
      <c r="AI36" s="134" t="s">
        <v>40</v>
      </c>
      <c r="AJ36" s="97" t="s">
        <v>52</v>
      </c>
      <c r="AK36" s="98">
        <v>6</v>
      </c>
      <c r="AL36" s="97" t="s">
        <v>52</v>
      </c>
      <c r="AM36" s="98">
        <v>3</v>
      </c>
      <c r="AN36" s="678" t="s">
        <v>76</v>
      </c>
      <c r="AO36" s="99">
        <v>1.5</v>
      </c>
      <c r="AP36" s="84"/>
    </row>
    <row r="37" spans="2:42" ht="12.75">
      <c r="B37" s="204"/>
      <c r="C37" s="493">
        <f t="shared" si="0"/>
      </c>
      <c r="D37" s="494"/>
      <c r="E37" s="636"/>
      <c r="F37" s="633">
        <f t="shared" si="1"/>
      </c>
      <c r="G37" s="318">
        <f t="shared" si="2"/>
      </c>
      <c r="H37" s="315"/>
      <c r="I37" s="321">
        <f t="shared" si="3"/>
      </c>
      <c r="J37" s="192"/>
      <c r="K37" s="324">
        <f t="shared" si="5"/>
      </c>
      <c r="L37" s="192"/>
      <c r="M37" s="324">
        <f t="shared" si="4"/>
      </c>
      <c r="N37" s="327">
        <f t="shared" si="6"/>
      </c>
      <c r="O37" s="324">
        <f t="shared" si="7"/>
      </c>
      <c r="P37" s="495"/>
      <c r="Q37" s="390"/>
      <c r="AH37" s="96" t="s">
        <v>166</v>
      </c>
      <c r="AI37" s="134" t="s">
        <v>41</v>
      </c>
      <c r="AJ37" s="97" t="s">
        <v>52</v>
      </c>
      <c r="AK37" s="98">
        <v>6</v>
      </c>
      <c r="AL37" s="97" t="s">
        <v>52</v>
      </c>
      <c r="AM37" s="98">
        <v>3</v>
      </c>
      <c r="AN37" s="678" t="s">
        <v>76</v>
      </c>
      <c r="AO37" s="99">
        <v>1.5</v>
      </c>
      <c r="AP37" s="84"/>
    </row>
    <row r="38" spans="2:44" ht="12.75">
      <c r="B38" s="204"/>
      <c r="C38" s="493">
        <f t="shared" si="0"/>
      </c>
      <c r="D38" s="494"/>
      <c r="E38" s="636"/>
      <c r="F38" s="633">
        <f t="shared" si="1"/>
      </c>
      <c r="G38" s="318">
        <f t="shared" si="2"/>
      </c>
      <c r="H38" s="315"/>
      <c r="I38" s="321">
        <f t="shared" si="3"/>
      </c>
      <c r="J38" s="192"/>
      <c r="K38" s="324">
        <f t="shared" si="5"/>
      </c>
      <c r="L38" s="192"/>
      <c r="M38" s="324">
        <f t="shared" si="4"/>
      </c>
      <c r="N38" s="327">
        <f t="shared" si="6"/>
      </c>
      <c r="O38" s="324">
        <f t="shared" si="7"/>
      </c>
      <c r="P38" s="495"/>
      <c r="Q38" s="390"/>
      <c r="AH38" s="96" t="s">
        <v>167</v>
      </c>
      <c r="AI38" s="134" t="s">
        <v>42</v>
      </c>
      <c r="AJ38" s="97" t="s">
        <v>52</v>
      </c>
      <c r="AK38" s="98">
        <v>6</v>
      </c>
      <c r="AL38" s="97" t="s">
        <v>54</v>
      </c>
      <c r="AM38" s="98">
        <v>1</v>
      </c>
      <c r="AN38" s="678" t="s">
        <v>54</v>
      </c>
      <c r="AO38" s="99">
        <v>1</v>
      </c>
      <c r="AP38" s="84"/>
      <c r="AQ38" s="84"/>
      <c r="AR38" s="84"/>
    </row>
    <row r="39" spans="2:44" ht="12.75">
      <c r="B39" s="204"/>
      <c r="C39" s="493">
        <f t="shared" si="0"/>
      </c>
      <c r="D39" s="494"/>
      <c r="E39" s="636"/>
      <c r="F39" s="633">
        <f t="shared" si="1"/>
      </c>
      <c r="G39" s="318">
        <f t="shared" si="2"/>
      </c>
      <c r="H39" s="315"/>
      <c r="I39" s="321">
        <f t="shared" si="3"/>
      </c>
      <c r="J39" s="192"/>
      <c r="K39" s="324">
        <f t="shared" si="5"/>
      </c>
      <c r="L39" s="192"/>
      <c r="M39" s="324">
        <f t="shared" si="4"/>
      </c>
      <c r="N39" s="327">
        <f t="shared" si="6"/>
      </c>
      <c r="O39" s="324">
        <f t="shared" si="7"/>
      </c>
      <c r="P39" s="495"/>
      <c r="Q39" s="390"/>
      <c r="AH39" s="96" t="s">
        <v>136</v>
      </c>
      <c r="AI39" s="134" t="s">
        <v>48</v>
      </c>
      <c r="AJ39" s="97" t="s">
        <v>54</v>
      </c>
      <c r="AK39" s="98">
        <v>2</v>
      </c>
      <c r="AL39" s="97" t="s">
        <v>112</v>
      </c>
      <c r="AM39" s="98" t="s">
        <v>110</v>
      </c>
      <c r="AN39" s="97" t="s">
        <v>112</v>
      </c>
      <c r="AO39" s="98" t="s">
        <v>110</v>
      </c>
      <c r="AP39" s="84"/>
      <c r="AQ39" s="84"/>
      <c r="AR39" s="84"/>
    </row>
    <row r="40" spans="2:44" ht="12.75">
      <c r="B40" s="204"/>
      <c r="C40" s="493">
        <f t="shared" si="0"/>
      </c>
      <c r="D40" s="494"/>
      <c r="E40" s="636"/>
      <c r="F40" s="633">
        <f t="shared" si="1"/>
      </c>
      <c r="G40" s="318">
        <f t="shared" si="2"/>
      </c>
      <c r="H40" s="315"/>
      <c r="I40" s="321">
        <f t="shared" si="3"/>
      </c>
      <c r="J40" s="192"/>
      <c r="K40" s="324">
        <f t="shared" si="5"/>
      </c>
      <c r="L40" s="192"/>
      <c r="M40" s="324">
        <f t="shared" si="4"/>
      </c>
      <c r="N40" s="327">
        <f t="shared" si="6"/>
      </c>
      <c r="O40" s="324">
        <f t="shared" si="7"/>
      </c>
      <c r="P40" s="495"/>
      <c r="Q40" s="390"/>
      <c r="AH40" s="96" t="s">
        <v>188</v>
      </c>
      <c r="AI40" s="134" t="s">
        <v>34</v>
      </c>
      <c r="AJ40" s="97" t="s">
        <v>54</v>
      </c>
      <c r="AK40" s="98">
        <v>2</v>
      </c>
      <c r="AL40" s="97" t="s">
        <v>54</v>
      </c>
      <c r="AM40" s="98">
        <v>1</v>
      </c>
      <c r="AN40" s="678" t="s">
        <v>54</v>
      </c>
      <c r="AO40" s="99">
        <v>1</v>
      </c>
      <c r="AP40" s="84"/>
      <c r="AQ40" s="84"/>
      <c r="AR40" s="84"/>
    </row>
    <row r="41" spans="2:44" ht="12.75">
      <c r="B41" s="204"/>
      <c r="C41" s="493">
        <f t="shared" si="0"/>
      </c>
      <c r="D41" s="494"/>
      <c r="E41" s="636"/>
      <c r="F41" s="633">
        <f t="shared" si="1"/>
      </c>
      <c r="G41" s="318">
        <f t="shared" si="2"/>
      </c>
      <c r="H41" s="315"/>
      <c r="I41" s="321">
        <f t="shared" si="3"/>
      </c>
      <c r="J41" s="192"/>
      <c r="K41" s="324">
        <f t="shared" si="5"/>
      </c>
      <c r="L41" s="192"/>
      <c r="M41" s="324">
        <f t="shared" si="4"/>
      </c>
      <c r="N41" s="327">
        <f t="shared" si="6"/>
      </c>
      <c r="O41" s="324">
        <f t="shared" si="7"/>
      </c>
      <c r="P41" s="495"/>
      <c r="Q41" s="390"/>
      <c r="AH41" s="96" t="s">
        <v>189</v>
      </c>
      <c r="AI41" s="134" t="s">
        <v>35</v>
      </c>
      <c r="AJ41" s="97" t="s">
        <v>306</v>
      </c>
      <c r="AK41" s="98">
        <v>3</v>
      </c>
      <c r="AL41" s="97" t="s">
        <v>54</v>
      </c>
      <c r="AM41" s="98">
        <v>1</v>
      </c>
      <c r="AN41" s="678" t="s">
        <v>54</v>
      </c>
      <c r="AO41" s="99">
        <v>1</v>
      </c>
      <c r="AP41" s="84"/>
      <c r="AQ41" s="84"/>
      <c r="AR41" s="84"/>
    </row>
    <row r="42" spans="2:44" ht="12.75">
      <c r="B42" s="204"/>
      <c r="C42" s="493">
        <f t="shared" si="0"/>
      </c>
      <c r="D42" s="494"/>
      <c r="E42" s="636"/>
      <c r="F42" s="633">
        <f t="shared" si="1"/>
      </c>
      <c r="G42" s="318">
        <f t="shared" si="2"/>
      </c>
      <c r="H42" s="315"/>
      <c r="I42" s="321">
        <f t="shared" si="3"/>
      </c>
      <c r="J42" s="192"/>
      <c r="K42" s="324">
        <f t="shared" si="5"/>
      </c>
      <c r="L42" s="192"/>
      <c r="M42" s="324">
        <f t="shared" si="4"/>
      </c>
      <c r="N42" s="327">
        <f t="shared" si="6"/>
      </c>
      <c r="O42" s="324">
        <f t="shared" si="7"/>
      </c>
      <c r="P42" s="495"/>
      <c r="Q42" s="390"/>
      <c r="AH42" s="96" t="s">
        <v>190</v>
      </c>
      <c r="AI42" s="134" t="s">
        <v>36</v>
      </c>
      <c r="AJ42" s="97" t="s">
        <v>76</v>
      </c>
      <c r="AK42" s="98">
        <v>4</v>
      </c>
      <c r="AL42" s="97" t="s">
        <v>54</v>
      </c>
      <c r="AM42" s="98">
        <v>1</v>
      </c>
      <c r="AN42" s="678" t="s">
        <v>54</v>
      </c>
      <c r="AO42" s="99">
        <v>1</v>
      </c>
      <c r="AP42" s="84"/>
      <c r="AQ42" s="84"/>
      <c r="AR42" s="84"/>
    </row>
    <row r="43" spans="2:44" ht="12.75">
      <c r="B43" s="204"/>
      <c r="C43" s="493">
        <f t="shared" si="0"/>
      </c>
      <c r="D43" s="494"/>
      <c r="E43" s="636"/>
      <c r="F43" s="633">
        <f t="shared" si="1"/>
      </c>
      <c r="G43" s="318">
        <f t="shared" si="2"/>
      </c>
      <c r="H43" s="315"/>
      <c r="I43" s="321">
        <f t="shared" si="3"/>
      </c>
      <c r="J43" s="192"/>
      <c r="K43" s="324">
        <f t="shared" si="5"/>
      </c>
      <c r="L43" s="192"/>
      <c r="M43" s="324">
        <f t="shared" si="4"/>
      </c>
      <c r="N43" s="327">
        <f t="shared" si="6"/>
      </c>
      <c r="O43" s="324">
        <f t="shared" si="7"/>
      </c>
      <c r="P43" s="495"/>
      <c r="Q43" s="390"/>
      <c r="AH43" s="96" t="s">
        <v>138</v>
      </c>
      <c r="AI43" s="134" t="s">
        <v>55</v>
      </c>
      <c r="AJ43" s="97" t="s">
        <v>54</v>
      </c>
      <c r="AK43" s="98">
        <v>2</v>
      </c>
      <c r="AL43" s="97" t="s">
        <v>54</v>
      </c>
      <c r="AM43" s="98">
        <v>1</v>
      </c>
      <c r="AN43" s="97" t="s">
        <v>54</v>
      </c>
      <c r="AO43" s="98">
        <v>1</v>
      </c>
      <c r="AP43" s="84"/>
      <c r="AQ43" s="84"/>
      <c r="AR43" s="84"/>
    </row>
    <row r="44" spans="2:44" ht="13.5" thickBot="1">
      <c r="B44" s="496"/>
      <c r="C44" s="497">
        <f t="shared" si="0"/>
      </c>
      <c r="D44" s="498"/>
      <c r="E44" s="637"/>
      <c r="F44" s="634">
        <f t="shared" si="1"/>
      </c>
      <c r="G44" s="319">
        <f t="shared" si="2"/>
      </c>
      <c r="H44" s="316"/>
      <c r="I44" s="322">
        <f t="shared" si="3"/>
      </c>
      <c r="J44" s="194"/>
      <c r="K44" s="325">
        <f t="shared" si="5"/>
      </c>
      <c r="L44" s="194"/>
      <c r="M44" s="325">
        <f t="shared" si="4"/>
      </c>
      <c r="N44" s="328">
        <f t="shared" si="6"/>
      </c>
      <c r="O44" s="325">
        <f t="shared" si="7"/>
      </c>
      <c r="P44" s="499"/>
      <c r="Q44" s="392"/>
      <c r="AH44" s="96" t="s">
        <v>137</v>
      </c>
      <c r="AI44" s="134" t="s">
        <v>49</v>
      </c>
      <c r="AJ44" s="97" t="s">
        <v>54</v>
      </c>
      <c r="AK44" s="98">
        <v>2</v>
      </c>
      <c r="AL44" s="97" t="s">
        <v>54</v>
      </c>
      <c r="AM44" s="98">
        <v>1</v>
      </c>
      <c r="AN44" s="678" t="s">
        <v>54</v>
      </c>
      <c r="AO44" s="99">
        <v>1</v>
      </c>
      <c r="AP44" s="84"/>
      <c r="AQ44" s="84"/>
      <c r="AR44" s="84"/>
    </row>
    <row r="45" spans="2:65" s="77" customFormat="1" ht="13.5" thickBot="1">
      <c r="B45" s="500"/>
      <c r="C45" s="501"/>
      <c r="D45" s="502" t="s">
        <v>111</v>
      </c>
      <c r="E45" s="503">
        <f>SUM(E15:E44)</f>
        <v>4.1</v>
      </c>
      <c r="F45" s="504"/>
      <c r="G45" s="504"/>
      <c r="H45" s="505"/>
      <c r="I45" s="502" t="s">
        <v>111</v>
      </c>
      <c r="J45" s="506">
        <f aca="true" t="shared" si="8" ref="J45:O45">SUM(J15:J44)</f>
        <v>0</v>
      </c>
      <c r="K45" s="507">
        <f t="shared" si="8"/>
        <v>0</v>
      </c>
      <c r="L45" s="508">
        <f t="shared" si="8"/>
        <v>4.1</v>
      </c>
      <c r="M45" s="509">
        <f t="shared" si="8"/>
        <v>41</v>
      </c>
      <c r="N45" s="510">
        <f t="shared" si="8"/>
        <v>0</v>
      </c>
      <c r="O45" s="503">
        <f t="shared" si="8"/>
        <v>0</v>
      </c>
      <c r="P45" s="511" t="s">
        <v>93</v>
      </c>
      <c r="Q45" s="378"/>
      <c r="AG45" s="80"/>
      <c r="AH45" s="96" t="s">
        <v>330</v>
      </c>
      <c r="AI45" s="134" t="s">
        <v>45</v>
      </c>
      <c r="AJ45" s="97" t="s">
        <v>54</v>
      </c>
      <c r="AK45" s="98">
        <v>2</v>
      </c>
      <c r="AL45" s="97" t="s">
        <v>54</v>
      </c>
      <c r="AM45" s="98">
        <v>1</v>
      </c>
      <c r="AN45" s="678"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18" t="s">
        <v>194</v>
      </c>
      <c r="P46" s="511"/>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43" t="s">
        <v>245</v>
      </c>
      <c r="N47" s="744"/>
      <c r="O47" s="522">
        <f>K45+M45+O45</f>
        <v>41</v>
      </c>
      <c r="P47" s="511"/>
      <c r="Q47" s="378"/>
      <c r="AG47" s="80"/>
      <c r="AH47" s="96" t="s">
        <v>135</v>
      </c>
      <c r="AI47" s="134" t="s">
        <v>47</v>
      </c>
      <c r="AJ47" s="97" t="s">
        <v>54</v>
      </c>
      <c r="AK47" s="98">
        <v>2</v>
      </c>
      <c r="AL47" s="97" t="s">
        <v>54</v>
      </c>
      <c r="AM47" s="98">
        <v>1</v>
      </c>
      <c r="AN47" s="678"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9" t="s">
        <v>338</v>
      </c>
      <c r="E48" s="250"/>
      <c r="F48" s="251"/>
      <c r="G48" s="252"/>
      <c r="H48" s="253"/>
      <c r="I48" s="254"/>
      <c r="J48" s="255" t="s">
        <v>100</v>
      </c>
      <c r="K48" s="256"/>
      <c r="L48" s="123"/>
      <c r="M48" s="124"/>
      <c r="N48" s="124"/>
      <c r="O48" s="125"/>
      <c r="P48" s="523"/>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2" t="s">
        <v>116</v>
      </c>
      <c r="C49" s="763"/>
      <c r="D49" s="272"/>
      <c r="E49" s="258" t="s">
        <v>6</v>
      </c>
      <c r="F49" s="259"/>
      <c r="G49" s="260"/>
      <c r="H49" s="259"/>
      <c r="I49" s="261"/>
      <c r="J49" s="261" t="s">
        <v>142</v>
      </c>
      <c r="K49" s="262" t="s">
        <v>143</v>
      </c>
      <c r="L49" s="127"/>
      <c r="M49" s="121"/>
      <c r="N49" s="121"/>
      <c r="O49" s="128"/>
      <c r="P49" s="523"/>
      <c r="Q49" s="126"/>
      <c r="AH49" s="96" t="s">
        <v>140</v>
      </c>
      <c r="AI49" s="134" t="s">
        <v>57</v>
      </c>
      <c r="AJ49" s="97" t="s">
        <v>54</v>
      </c>
      <c r="AK49" s="98">
        <v>2</v>
      </c>
      <c r="AL49" s="97" t="s">
        <v>54</v>
      </c>
      <c r="AM49" s="98">
        <v>1</v>
      </c>
      <c r="AN49" s="97" t="s">
        <v>54</v>
      </c>
      <c r="AO49" s="98">
        <v>1</v>
      </c>
      <c r="AP49" s="84"/>
      <c r="AQ49" s="84"/>
      <c r="AR49" s="84"/>
    </row>
    <row r="50" spans="2:44" ht="12.75" customHeight="1" thickBot="1">
      <c r="B50" s="776"/>
      <c r="C50" s="526" t="s">
        <v>117</v>
      </c>
      <c r="D50" s="195"/>
      <c r="E50" s="196"/>
      <c r="F50" s="188">
        <f>IF($D50&gt;0,(VLOOKUP($D50,$AH$52:$AO$68,3,FALSE)),"")</f>
      </c>
      <c r="G50" s="333">
        <f>IF($D50&gt;0,(VLOOKUP($F50,$AQ$5:$AR$10,2,FALSE)),"")</f>
      </c>
      <c r="H50" s="189"/>
      <c r="I50" s="335">
        <f aca="true" t="shared" si="9" ref="I50:I59">IF($H50&gt;0,(VLOOKUP($H50,$AQ$13:$AR$15,2,FALSE)),"")</f>
      </c>
      <c r="J50" s="336">
        <f>IF(D50&gt;0,(E50*G50*I50),"")</f>
      </c>
      <c r="K50" s="337">
        <f>IF(D50&gt;0,(J50-J51),"")</f>
      </c>
      <c r="L50" s="517"/>
      <c r="M50" s="517"/>
      <c r="N50" s="517"/>
      <c r="O50" s="525"/>
      <c r="P50" s="527"/>
      <c r="Q50" s="184"/>
      <c r="AH50" s="675" t="s">
        <v>327</v>
      </c>
      <c r="AI50" s="676" t="s">
        <v>112</v>
      </c>
      <c r="AJ50" s="680" t="s">
        <v>54</v>
      </c>
      <c r="AK50" s="151">
        <v>2</v>
      </c>
      <c r="AL50" s="680" t="s">
        <v>54</v>
      </c>
      <c r="AM50" s="151">
        <v>1</v>
      </c>
      <c r="AN50" s="680" t="s">
        <v>54</v>
      </c>
      <c r="AO50" s="151">
        <v>1</v>
      </c>
      <c r="AP50" s="84"/>
      <c r="AQ50" s="84"/>
      <c r="AR50" s="84"/>
    </row>
    <row r="51" spans="2:44" ht="13.5" thickBot="1">
      <c r="B51" s="772"/>
      <c r="C51" s="528" t="s">
        <v>118</v>
      </c>
      <c r="D51" s="129"/>
      <c r="E51" s="130"/>
      <c r="F51" s="131"/>
      <c r="G51" s="334"/>
      <c r="H51" s="197"/>
      <c r="I51" s="338">
        <f t="shared" si="9"/>
      </c>
      <c r="J51" s="339">
        <f>IF(D50&gt;0,(E50*G50*I51),"")</f>
      </c>
      <c r="K51" s="269"/>
      <c r="L51" s="517"/>
      <c r="M51" s="517"/>
      <c r="N51" s="517"/>
      <c r="O51" s="525"/>
      <c r="P51" s="529"/>
      <c r="Q51" s="383"/>
      <c r="AH51" s="665" t="s">
        <v>125</v>
      </c>
      <c r="AI51" s="666"/>
      <c r="AJ51" s="667"/>
      <c r="AK51" s="668"/>
      <c r="AL51" s="669"/>
      <c r="AM51" s="670"/>
      <c r="AN51" s="671"/>
      <c r="AO51" s="672"/>
      <c r="AP51" s="84"/>
      <c r="AQ51" s="84"/>
      <c r="AR51" s="84"/>
    </row>
    <row r="52" spans="2:44" ht="12.75" customHeight="1">
      <c r="B52" s="770"/>
      <c r="C52" s="526" t="s">
        <v>117</v>
      </c>
      <c r="D52" s="195"/>
      <c r="E52" s="196"/>
      <c r="F52" s="188">
        <f>IF($D52&gt;0,(VLOOKUP($D52,$AH$52:$AO$68,3,FALSE)),"")</f>
      </c>
      <c r="G52" s="333">
        <f>IF($D52&gt;0,(VLOOKUP($F52,$AQ$5:$AR$10,2,FALSE)),"")</f>
      </c>
      <c r="H52" s="189"/>
      <c r="I52" s="335">
        <f t="shared" si="9"/>
      </c>
      <c r="J52" s="336">
        <f>IF(D52&gt;0,(E52*G52*I52),"")</f>
      </c>
      <c r="K52" s="337">
        <f>IF(D52&gt;0,(J52-J53),"")</f>
      </c>
      <c r="L52" s="517"/>
      <c r="M52" s="517"/>
      <c r="N52" s="517"/>
      <c r="O52" s="525"/>
      <c r="P52" s="529"/>
      <c r="Q52" s="383"/>
      <c r="AH52" s="87" t="s">
        <v>185</v>
      </c>
      <c r="AI52" s="674" t="s">
        <v>62</v>
      </c>
      <c r="AJ52" s="88" t="s">
        <v>76</v>
      </c>
      <c r="AK52" s="89">
        <v>4</v>
      </c>
      <c r="AL52" s="88" t="s">
        <v>54</v>
      </c>
      <c r="AM52" s="89">
        <v>1</v>
      </c>
      <c r="AN52" s="677" t="s">
        <v>54</v>
      </c>
      <c r="AO52" s="90">
        <v>1</v>
      </c>
      <c r="AP52" s="84"/>
      <c r="AQ52" s="84"/>
      <c r="AR52" s="84"/>
    </row>
    <row r="53" spans="2:44" ht="13.5" thickBot="1">
      <c r="B53" s="772"/>
      <c r="C53" s="528" t="s">
        <v>118</v>
      </c>
      <c r="D53" s="129"/>
      <c r="E53" s="130"/>
      <c r="F53" s="131"/>
      <c r="G53" s="334"/>
      <c r="H53" s="197"/>
      <c r="I53" s="338">
        <f t="shared" si="9"/>
      </c>
      <c r="J53" s="339">
        <f>IF(D52&gt;0,(E52*G52*I53),"")</f>
      </c>
      <c r="K53" s="269"/>
      <c r="L53" s="517"/>
      <c r="M53" s="517"/>
      <c r="N53" s="517"/>
      <c r="O53" s="525"/>
      <c r="P53" s="529"/>
      <c r="Q53" s="383"/>
      <c r="AH53" s="96" t="s">
        <v>184</v>
      </c>
      <c r="AI53" s="134" t="s">
        <v>63</v>
      </c>
      <c r="AJ53" s="97" t="s">
        <v>52</v>
      </c>
      <c r="AK53" s="98">
        <v>6</v>
      </c>
      <c r="AL53" s="97" t="s">
        <v>54</v>
      </c>
      <c r="AM53" s="98">
        <v>1</v>
      </c>
      <c r="AN53" s="678" t="s">
        <v>54</v>
      </c>
      <c r="AO53" s="99">
        <v>1</v>
      </c>
      <c r="AP53" s="84"/>
      <c r="AQ53" s="84"/>
      <c r="AR53" s="84"/>
    </row>
    <row r="54" spans="2:44" ht="12.75" customHeight="1">
      <c r="B54" s="770"/>
      <c r="C54" s="526" t="s">
        <v>117</v>
      </c>
      <c r="D54" s="195"/>
      <c r="E54" s="196"/>
      <c r="F54" s="188">
        <f>IF($D54&gt;0,(VLOOKUP($D54,$AH$52:$AO$68,3,FALSE)),"")</f>
      </c>
      <c r="G54" s="333">
        <f>IF($D54&gt;0,(VLOOKUP($F54,$AQ$5:$AR$10,2,FALSE)),"")</f>
      </c>
      <c r="H54" s="189"/>
      <c r="I54" s="335">
        <f t="shared" si="9"/>
      </c>
      <c r="J54" s="336">
        <f>IF(D54&gt;0,(E54*G54*I54),"")</f>
      </c>
      <c r="K54" s="337">
        <f>IF(D54&gt;0,(J54-J55),"")</f>
      </c>
      <c r="L54" s="517"/>
      <c r="M54" s="517"/>
      <c r="N54" s="517"/>
      <c r="O54" s="525"/>
      <c r="P54" s="529"/>
      <c r="Q54" s="383"/>
      <c r="AH54" s="96" t="s">
        <v>182</v>
      </c>
      <c r="AI54" s="134" t="s">
        <v>65</v>
      </c>
      <c r="AJ54" s="97" t="s">
        <v>307</v>
      </c>
      <c r="AK54" s="98">
        <v>5</v>
      </c>
      <c r="AL54" s="97" t="s">
        <v>54</v>
      </c>
      <c r="AM54" s="98">
        <v>1</v>
      </c>
      <c r="AN54" s="678" t="s">
        <v>54</v>
      </c>
      <c r="AO54" s="99">
        <v>1</v>
      </c>
      <c r="AP54" s="84"/>
      <c r="AQ54" s="84"/>
      <c r="AR54" s="84"/>
    </row>
    <row r="55" spans="2:44" ht="13.5" thickBot="1">
      <c r="B55" s="772"/>
      <c r="C55" s="528" t="s">
        <v>118</v>
      </c>
      <c r="D55" s="129"/>
      <c r="E55" s="130"/>
      <c r="F55" s="131"/>
      <c r="G55" s="334"/>
      <c r="H55" s="197"/>
      <c r="I55" s="338">
        <f t="shared" si="9"/>
      </c>
      <c r="J55" s="339">
        <f>IF(D54&gt;0,(E54*G54*I55),"")</f>
      </c>
      <c r="K55" s="269"/>
      <c r="L55" s="517"/>
      <c r="M55" s="517"/>
      <c r="N55" s="517"/>
      <c r="O55" s="525"/>
      <c r="P55" s="529"/>
      <c r="Q55" s="383"/>
      <c r="AH55" s="96" t="s">
        <v>181</v>
      </c>
      <c r="AI55" s="134" t="s">
        <v>58</v>
      </c>
      <c r="AJ55" s="97" t="s">
        <v>52</v>
      </c>
      <c r="AK55" s="98">
        <v>6</v>
      </c>
      <c r="AL55" s="97" t="s">
        <v>54</v>
      </c>
      <c r="AM55" s="98">
        <v>1</v>
      </c>
      <c r="AN55" s="678" t="s">
        <v>54</v>
      </c>
      <c r="AO55" s="99">
        <v>1</v>
      </c>
      <c r="AP55" s="84"/>
      <c r="AQ55" s="84"/>
      <c r="AR55" s="84"/>
    </row>
    <row r="56" spans="2:44" ht="12.75" customHeight="1">
      <c r="B56" s="770"/>
      <c r="C56" s="526" t="s">
        <v>117</v>
      </c>
      <c r="D56" s="195"/>
      <c r="E56" s="196"/>
      <c r="F56" s="188">
        <f>IF($D56&gt;0,(VLOOKUP($D56,$AH$52:$AO$68,3,FALSE)),"")</f>
      </c>
      <c r="G56" s="333">
        <f>IF($D56&gt;0,(VLOOKUP($F56,$AQ$5:$AR$10,2,FALSE)),"")</f>
      </c>
      <c r="H56" s="189"/>
      <c r="I56" s="335">
        <f t="shared" si="9"/>
      </c>
      <c r="J56" s="336">
        <f>IF(D56&gt;0,(E56*G56*I56),"")</f>
      </c>
      <c r="K56" s="337">
        <f>IF(D56&gt;0,(J56-J57),"")</f>
      </c>
      <c r="L56" s="517"/>
      <c r="M56" s="517"/>
      <c r="N56" s="517"/>
      <c r="O56" s="525"/>
      <c r="P56" s="529"/>
      <c r="Q56" s="383"/>
      <c r="AH56" s="96" t="s">
        <v>183</v>
      </c>
      <c r="AI56" s="134" t="s">
        <v>64</v>
      </c>
      <c r="AJ56" s="97" t="s">
        <v>54</v>
      </c>
      <c r="AK56" s="98">
        <v>2</v>
      </c>
      <c r="AL56" s="97" t="s">
        <v>112</v>
      </c>
      <c r="AM56" s="98" t="s">
        <v>110</v>
      </c>
      <c r="AN56" s="97" t="s">
        <v>112</v>
      </c>
      <c r="AO56" s="98" t="s">
        <v>110</v>
      </c>
      <c r="AP56" s="84"/>
      <c r="AQ56" s="84"/>
      <c r="AR56" s="84"/>
    </row>
    <row r="57" spans="2:44" ht="13.5" thickBot="1">
      <c r="B57" s="772"/>
      <c r="C57" s="528" t="s">
        <v>118</v>
      </c>
      <c r="D57" s="129"/>
      <c r="E57" s="130"/>
      <c r="F57" s="131"/>
      <c r="G57" s="334"/>
      <c r="H57" s="197"/>
      <c r="I57" s="338">
        <f t="shared" si="9"/>
      </c>
      <c r="J57" s="339">
        <f>IF(D56&gt;0,(E56*G56*I57),"")</f>
      </c>
      <c r="K57" s="269"/>
      <c r="L57" s="517"/>
      <c r="M57" s="517"/>
      <c r="N57" s="517"/>
      <c r="O57" s="525"/>
      <c r="P57" s="529"/>
      <c r="Q57" s="383"/>
      <c r="AH57" s="96" t="s">
        <v>187</v>
      </c>
      <c r="AI57" s="134" t="s">
        <v>19</v>
      </c>
      <c r="AJ57" s="97" t="s">
        <v>76</v>
      </c>
      <c r="AK57" s="98">
        <v>4</v>
      </c>
      <c r="AL57" s="97" t="s">
        <v>54</v>
      </c>
      <c r="AM57" s="98">
        <v>1</v>
      </c>
      <c r="AN57" s="678" t="s">
        <v>54</v>
      </c>
      <c r="AO57" s="99">
        <v>1</v>
      </c>
      <c r="AP57" s="84"/>
      <c r="AQ57" s="84"/>
      <c r="AR57" s="84"/>
    </row>
    <row r="58" spans="2:44" ht="12.75" customHeight="1">
      <c r="B58" s="770"/>
      <c r="C58" s="526" t="s">
        <v>117</v>
      </c>
      <c r="D58" s="195"/>
      <c r="E58" s="196"/>
      <c r="F58" s="188">
        <f>IF($D58&gt;0,(VLOOKUP($D58,$AH$52:$AO$68,3,FALSE)),"")</f>
      </c>
      <c r="G58" s="333">
        <f>IF($D58&gt;0,(VLOOKUP($F58,$AQ$5:$AR$10,2,FALSE)),"")</f>
      </c>
      <c r="H58" s="189"/>
      <c r="I58" s="335">
        <f t="shared" si="9"/>
      </c>
      <c r="J58" s="336">
        <f>IF(D58&gt;0,(E58*G58*I58),"")</f>
      </c>
      <c r="K58" s="337">
        <f>IF(D58&gt;0,(J58-J59),"")</f>
      </c>
      <c r="L58" s="517"/>
      <c r="M58" s="170"/>
      <c r="N58" s="170"/>
      <c r="O58" s="488"/>
      <c r="P58" s="529"/>
      <c r="Q58" s="383"/>
      <c r="AH58" s="96" t="s">
        <v>186</v>
      </c>
      <c r="AI58" s="134" t="s">
        <v>59</v>
      </c>
      <c r="AJ58" s="97" t="s">
        <v>76</v>
      </c>
      <c r="AK58" s="98">
        <v>4</v>
      </c>
      <c r="AL58" s="97" t="s">
        <v>54</v>
      </c>
      <c r="AM58" s="98">
        <v>1</v>
      </c>
      <c r="AN58" s="678" t="s">
        <v>54</v>
      </c>
      <c r="AO58" s="99">
        <v>1</v>
      </c>
      <c r="AP58" s="84"/>
      <c r="AQ58" s="84"/>
      <c r="AR58" s="84"/>
    </row>
    <row r="59" spans="2:44" ht="13.5" thickBot="1">
      <c r="B59" s="771"/>
      <c r="C59" s="528" t="s">
        <v>118</v>
      </c>
      <c r="D59" s="129"/>
      <c r="E59" s="130"/>
      <c r="F59" s="131"/>
      <c r="G59" s="334"/>
      <c r="H59" s="197"/>
      <c r="I59" s="338">
        <f t="shared" si="9"/>
      </c>
      <c r="J59" s="339">
        <f>IF(D58&gt;0,(E58*G58*I59),"")</f>
      </c>
      <c r="K59" s="269"/>
      <c r="L59" s="517"/>
      <c r="M59" s="517"/>
      <c r="N59" s="517"/>
      <c r="O59" s="525"/>
      <c r="P59" s="530"/>
      <c r="Q59" s="385"/>
      <c r="AH59" s="96" t="s">
        <v>292</v>
      </c>
      <c r="AI59" s="134" t="s">
        <v>56</v>
      </c>
      <c r="AJ59" s="97" t="s">
        <v>54</v>
      </c>
      <c r="AK59" s="98">
        <v>2</v>
      </c>
      <c r="AL59" s="97" t="s">
        <v>54</v>
      </c>
      <c r="AM59" s="98">
        <v>1</v>
      </c>
      <c r="AN59" s="678" t="s">
        <v>54</v>
      </c>
      <c r="AO59" s="99">
        <v>1</v>
      </c>
      <c r="AP59" s="84"/>
      <c r="AQ59" s="84"/>
      <c r="AR59" s="84"/>
    </row>
    <row r="60" spans="2:44" ht="13.5" thickBot="1">
      <c r="B60" s="531"/>
      <c r="C60" s="532"/>
      <c r="D60" s="533" t="s">
        <v>111</v>
      </c>
      <c r="E60" s="534">
        <f>SUM(E50:E59)</f>
        <v>0</v>
      </c>
      <c r="F60" s="535"/>
      <c r="G60" s="536"/>
      <c r="H60" s="536"/>
      <c r="I60" s="536"/>
      <c r="J60" s="537" t="s">
        <v>94</v>
      </c>
      <c r="K60" s="538">
        <f>SUM(K50:K59)</f>
        <v>0</v>
      </c>
      <c r="L60" s="539"/>
      <c r="M60" s="540"/>
      <c r="N60" s="540"/>
      <c r="O60" s="541" t="s">
        <v>195</v>
      </c>
      <c r="P60" s="542"/>
      <c r="Q60" s="381"/>
      <c r="AH60" s="96" t="s">
        <v>180</v>
      </c>
      <c r="AI60" s="134" t="s">
        <v>43</v>
      </c>
      <c r="AJ60" s="97" t="s">
        <v>52</v>
      </c>
      <c r="AK60" s="98">
        <v>6</v>
      </c>
      <c r="AL60" s="97" t="s">
        <v>76</v>
      </c>
      <c r="AM60" s="98">
        <v>2</v>
      </c>
      <c r="AN60" s="678" t="s">
        <v>54</v>
      </c>
      <c r="AO60" s="99">
        <v>1</v>
      </c>
      <c r="AP60" s="84"/>
      <c r="AQ60" s="84"/>
      <c r="AR60" s="84"/>
    </row>
    <row r="61" spans="2:44" ht="13.5" thickBot="1">
      <c r="B61" s="115"/>
      <c r="C61" s="115"/>
      <c r="D61" s="485"/>
      <c r="E61" s="543"/>
      <c r="F61" s="485"/>
      <c r="G61" s="485"/>
      <c r="H61" s="485"/>
      <c r="I61" s="485"/>
      <c r="J61" s="486"/>
      <c r="K61" s="543"/>
      <c r="L61" s="543"/>
      <c r="M61" s="723" t="s">
        <v>244</v>
      </c>
      <c r="N61" s="724"/>
      <c r="O61" s="544">
        <f>O45+K60</f>
        <v>0</v>
      </c>
      <c r="P61" s="137"/>
      <c r="Q61" s="137"/>
      <c r="AH61" s="96" t="s">
        <v>179</v>
      </c>
      <c r="AI61" s="134" t="s">
        <v>44</v>
      </c>
      <c r="AJ61" s="97" t="s">
        <v>52</v>
      </c>
      <c r="AK61" s="98">
        <v>6</v>
      </c>
      <c r="AL61" s="97" t="s">
        <v>76</v>
      </c>
      <c r="AM61" s="98">
        <v>2</v>
      </c>
      <c r="AN61" s="678" t="s">
        <v>54</v>
      </c>
      <c r="AO61" s="99">
        <v>1</v>
      </c>
      <c r="AP61" s="84"/>
      <c r="AQ61" s="84"/>
      <c r="AR61" s="84"/>
    </row>
    <row r="62" spans="2:44" ht="12.75">
      <c r="B62" s="138">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8" t="s">
        <v>54</v>
      </c>
      <c r="AO62" s="99">
        <v>1</v>
      </c>
      <c r="AP62" s="84"/>
      <c r="AQ62" s="84"/>
      <c r="AR62" s="84"/>
    </row>
    <row r="63" spans="1:44" s="117" customFormat="1" ht="13.5" thickBot="1">
      <c r="A63" s="115"/>
      <c r="B63" s="138">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8" t="s">
        <v>54</v>
      </c>
      <c r="AO63" s="99">
        <v>1</v>
      </c>
      <c r="AP63" s="84"/>
      <c r="AQ63" s="84"/>
      <c r="AR63" s="84"/>
    </row>
    <row r="64" spans="2:44" ht="27.75" customHeight="1" thickBot="1">
      <c r="B64" s="77"/>
      <c r="C64" s="715" t="s">
        <v>247</v>
      </c>
      <c r="D64" s="761"/>
      <c r="E64" s="716"/>
      <c r="F64" s="717" t="s">
        <v>249</v>
      </c>
      <c r="G64" s="718"/>
      <c r="H64" s="717" t="s">
        <v>250</v>
      </c>
      <c r="I64" s="719"/>
      <c r="J64" s="281"/>
      <c r="K64" s="719" t="s">
        <v>95</v>
      </c>
      <c r="L64" s="718"/>
      <c r="M64" s="715" t="s">
        <v>99</v>
      </c>
      <c r="N64" s="716"/>
      <c r="O64" s="745" t="s">
        <v>258</v>
      </c>
      <c r="P64" s="77"/>
      <c r="Q64" s="77"/>
      <c r="AH64" s="96" t="s">
        <v>174</v>
      </c>
      <c r="AI64" s="134" t="s">
        <v>67</v>
      </c>
      <c r="AJ64" s="97" t="s">
        <v>54</v>
      </c>
      <c r="AK64" s="98">
        <v>2</v>
      </c>
      <c r="AL64" s="97" t="s">
        <v>54</v>
      </c>
      <c r="AM64" s="98">
        <v>1</v>
      </c>
      <c r="AN64" s="678" t="s">
        <v>54</v>
      </c>
      <c r="AO64" s="99">
        <v>1</v>
      </c>
      <c r="AP64" s="84"/>
      <c r="AQ64" s="84"/>
      <c r="AR64" s="84"/>
    </row>
    <row r="65" spans="2:44" ht="26.25" thickBot="1">
      <c r="B65" s="241" t="s">
        <v>11</v>
      </c>
      <c r="C65" s="242" t="s">
        <v>10</v>
      </c>
      <c r="D65" s="243" t="s">
        <v>209</v>
      </c>
      <c r="E65" s="246" t="s">
        <v>305</v>
      </c>
      <c r="F65" s="282" t="s">
        <v>0</v>
      </c>
      <c r="G65" s="283" t="s">
        <v>80</v>
      </c>
      <c r="H65" s="282" t="s">
        <v>1</v>
      </c>
      <c r="I65" s="284" t="s">
        <v>80</v>
      </c>
      <c r="J65" s="285"/>
      <c r="K65" s="286" t="s">
        <v>98</v>
      </c>
      <c r="L65" s="284" t="s">
        <v>80</v>
      </c>
      <c r="M65" s="287" t="s">
        <v>78</v>
      </c>
      <c r="N65" s="288" t="s">
        <v>80</v>
      </c>
      <c r="O65" s="785"/>
      <c r="P65" s="374" t="s">
        <v>9</v>
      </c>
      <c r="Q65" s="375"/>
      <c r="R65" s="150"/>
      <c r="S65" s="150"/>
      <c r="AH65" s="96" t="s">
        <v>175</v>
      </c>
      <c r="AI65" s="134" t="s">
        <v>67</v>
      </c>
      <c r="AJ65" s="97" t="s">
        <v>76</v>
      </c>
      <c r="AK65" s="98">
        <v>4</v>
      </c>
      <c r="AL65" s="97" t="s">
        <v>54</v>
      </c>
      <c r="AM65" s="98">
        <v>1</v>
      </c>
      <c r="AN65" s="678" t="s">
        <v>54</v>
      </c>
      <c r="AO65" s="99">
        <v>1</v>
      </c>
      <c r="AP65" s="84"/>
      <c r="AQ65" s="84"/>
      <c r="AR65" s="84"/>
    </row>
    <row r="66" spans="2:44" ht="26.25" thickBot="1">
      <c r="B66" s="114"/>
      <c r="C66" s="341"/>
      <c r="D66" s="340" t="s">
        <v>248</v>
      </c>
      <c r="E66" s="237" t="s">
        <v>120</v>
      </c>
      <c r="F66" s="289"/>
      <c r="G66" s="290" t="s">
        <v>121</v>
      </c>
      <c r="H66" s="291"/>
      <c r="I66" s="292" t="s">
        <v>145</v>
      </c>
      <c r="J66" s="285"/>
      <c r="K66" s="289"/>
      <c r="L66" s="293" t="s">
        <v>146</v>
      </c>
      <c r="M66" s="294"/>
      <c r="N66" s="290" t="s">
        <v>147</v>
      </c>
      <c r="O66" s="293" t="s">
        <v>280</v>
      </c>
      <c r="P66" s="367"/>
      <c r="Q66" s="368"/>
      <c r="R66" s="93"/>
      <c r="S66" s="93"/>
      <c r="AH66" s="96" t="s">
        <v>177</v>
      </c>
      <c r="AI66" s="134" t="s">
        <v>60</v>
      </c>
      <c r="AJ66" s="97" t="s">
        <v>76</v>
      </c>
      <c r="AK66" s="98">
        <v>4</v>
      </c>
      <c r="AL66" s="97" t="s">
        <v>54</v>
      </c>
      <c r="AM66" s="98">
        <v>1</v>
      </c>
      <c r="AN66" s="678" t="s">
        <v>54</v>
      </c>
      <c r="AO66" s="99">
        <v>1</v>
      </c>
      <c r="AP66" s="84"/>
      <c r="AQ66" s="84"/>
      <c r="AR66" s="84"/>
    </row>
    <row r="67" spans="2:41" ht="12.75">
      <c r="B67" s="198"/>
      <c r="C67" s="490">
        <f aca="true" t="shared" si="10" ref="C67:C81">IF($D67&gt;0,(VLOOKUP($D67,$AH$52:$AO$68,2,FALSE)),"")</f>
      </c>
      <c r="D67" s="199"/>
      <c r="E67" s="638"/>
      <c r="F67" s="632">
        <f aca="true" t="shared" si="11" ref="F67:F81">IF($D67&gt;0,(VLOOKUP($D67,$AH$52:$AO$68,3,FALSE)),"")</f>
      </c>
      <c r="G67" s="317">
        <f aca="true" t="shared" si="12" ref="G67:G81">IF($D67&gt;0,(VLOOKUP($F67,$AQ$5:$AR$10,2,FALSE)),"")</f>
      </c>
      <c r="H67" s="200"/>
      <c r="I67" s="320">
        <f aca="true" t="shared" si="13" ref="I67:I81">IF($H67&gt;0,(VLOOKUP($H67,$AQ$13:$AR$15,2,FALSE)),"")</f>
      </c>
      <c r="J67" s="548"/>
      <c r="K67" s="189"/>
      <c r="L67" s="342">
        <f aca="true" t="shared" si="14" ref="L67:L81">IF($K67&gt;0,(VLOOKUP($K67,$AQ$18:$AR$24,2,FALSE)),"")</f>
      </c>
      <c r="M67" s="188">
        <f aca="true" t="shared" si="15" ref="M67:M81">IF($D67&gt;0,(VLOOKUP($D67,$AH$52:$AO$68,5,FALSE)),"")</f>
      </c>
      <c r="N67" s="317">
        <f aca="true" t="shared" si="16" ref="N67:N81">IF($D67&gt;0,(VLOOKUP($M67,$AQ$27:$AR$31,2,FALSE)),"")</f>
      </c>
      <c r="O67" s="337">
        <f>IF(D67&gt;0,(E67*G67*I67)/L67/N67,"")</f>
      </c>
      <c r="P67" s="492"/>
      <c r="Q67" s="373"/>
      <c r="R67" s="155"/>
      <c r="S67" s="155"/>
      <c r="AH67" s="96" t="s">
        <v>178</v>
      </c>
      <c r="AI67" s="134" t="s">
        <v>68</v>
      </c>
      <c r="AJ67" s="97" t="s">
        <v>54</v>
      </c>
      <c r="AK67" s="98">
        <v>2</v>
      </c>
      <c r="AL67" s="97" t="s">
        <v>54</v>
      </c>
      <c r="AM67" s="98">
        <v>1</v>
      </c>
      <c r="AN67" s="678" t="s">
        <v>54</v>
      </c>
      <c r="AO67" s="99">
        <v>1</v>
      </c>
    </row>
    <row r="68" spans="2:41" ht="13.5" thickBot="1">
      <c r="B68" s="204"/>
      <c r="C68" s="493">
        <f t="shared" si="10"/>
      </c>
      <c r="D68" s="201"/>
      <c r="E68" s="639"/>
      <c r="F68" s="633">
        <f t="shared" si="11"/>
      </c>
      <c r="G68" s="318">
        <f t="shared" si="12"/>
      </c>
      <c r="H68" s="202" t="s">
        <v>70</v>
      </c>
      <c r="I68" s="321">
        <f t="shared" si="13"/>
        <v>3</v>
      </c>
      <c r="J68" s="548"/>
      <c r="K68" s="203" t="s">
        <v>86</v>
      </c>
      <c r="L68" s="343">
        <f t="shared" si="14"/>
        <v>1.2</v>
      </c>
      <c r="M68" s="191">
        <f t="shared" si="15"/>
      </c>
      <c r="N68" s="318">
        <f t="shared" si="16"/>
      </c>
      <c r="O68" s="345">
        <f aca="true" t="shared" si="17" ref="O68:O81">IF(D68&gt;0,(E68*G68*I68)/L68/N68,"")</f>
      </c>
      <c r="P68" s="549"/>
      <c r="Q68" s="158"/>
      <c r="AH68" s="675" t="s">
        <v>328</v>
      </c>
      <c r="AI68" s="676" t="s">
        <v>112</v>
      </c>
      <c r="AJ68" s="680" t="s">
        <v>54</v>
      </c>
      <c r="AK68" s="151">
        <v>2</v>
      </c>
      <c r="AL68" s="680" t="s">
        <v>54</v>
      </c>
      <c r="AM68" s="151">
        <v>1</v>
      </c>
      <c r="AN68" s="680" t="s">
        <v>54</v>
      </c>
      <c r="AO68" s="151">
        <v>1</v>
      </c>
    </row>
    <row r="69" spans="2:17" ht="13.5" thickBot="1">
      <c r="B69" s="204"/>
      <c r="C69" s="493">
        <f t="shared" si="10"/>
      </c>
      <c r="D69" s="201"/>
      <c r="E69" s="639"/>
      <c r="F69" s="633">
        <f t="shared" si="11"/>
      </c>
      <c r="G69" s="318">
        <f t="shared" si="12"/>
      </c>
      <c r="H69" s="202"/>
      <c r="I69" s="321">
        <f t="shared" si="13"/>
      </c>
      <c r="J69" s="548"/>
      <c r="K69" s="203"/>
      <c r="L69" s="343">
        <f t="shared" si="14"/>
      </c>
      <c r="M69" s="191">
        <f t="shared" si="15"/>
      </c>
      <c r="N69" s="318">
        <f t="shared" si="16"/>
      </c>
      <c r="O69" s="345">
        <f t="shared" si="17"/>
      </c>
      <c r="P69" s="549"/>
      <c r="Q69" s="158"/>
    </row>
    <row r="70" spans="2:41" ht="13.5" thickBot="1">
      <c r="B70" s="204"/>
      <c r="C70" s="493">
        <f t="shared" si="10"/>
      </c>
      <c r="D70" s="201"/>
      <c r="E70" s="639"/>
      <c r="F70" s="633">
        <f t="shared" si="11"/>
      </c>
      <c r="G70" s="318">
        <f t="shared" si="12"/>
      </c>
      <c r="H70" s="202"/>
      <c r="I70" s="321">
        <f t="shared" si="13"/>
      </c>
      <c r="J70" s="548"/>
      <c r="K70" s="203"/>
      <c r="L70" s="343">
        <f t="shared" si="14"/>
      </c>
      <c r="M70" s="191">
        <f t="shared" si="15"/>
      </c>
      <c r="N70" s="318">
        <f t="shared" si="16"/>
      </c>
      <c r="O70" s="345">
        <f t="shared" si="17"/>
      </c>
      <c r="P70" s="549"/>
      <c r="Q70" s="158"/>
      <c r="AH70" s="684" t="s">
        <v>331</v>
      </c>
      <c r="AI70" s="684" t="s">
        <v>332</v>
      </c>
      <c r="AJ70" s="84"/>
      <c r="AK70" s="84"/>
      <c r="AL70" s="152"/>
      <c r="AM70" s="153"/>
      <c r="AN70" s="152"/>
      <c r="AO70" s="153"/>
    </row>
    <row r="71" spans="2:41" ht="13.5" thickBot="1">
      <c r="B71" s="204"/>
      <c r="C71" s="493">
        <f t="shared" si="10"/>
      </c>
      <c r="D71" s="201"/>
      <c r="E71" s="639"/>
      <c r="F71" s="633">
        <f t="shared" si="11"/>
      </c>
      <c r="G71" s="318">
        <f t="shared" si="12"/>
      </c>
      <c r="H71" s="202"/>
      <c r="I71" s="321">
        <f t="shared" si="13"/>
      </c>
      <c r="J71" s="548"/>
      <c r="K71" s="203"/>
      <c r="L71" s="343">
        <f t="shared" si="14"/>
      </c>
      <c r="M71" s="191">
        <f t="shared" si="15"/>
      </c>
      <c r="N71" s="318">
        <f t="shared" si="16"/>
      </c>
      <c r="O71" s="345">
        <f t="shared" si="17"/>
      </c>
      <c r="P71" s="549"/>
      <c r="Q71" s="158"/>
      <c r="AH71" s="683" t="s">
        <v>79</v>
      </c>
      <c r="AI71" s="159" t="s">
        <v>79</v>
      </c>
      <c r="AJ71" s="84"/>
      <c r="AK71" s="84"/>
      <c r="AL71" s="152"/>
      <c r="AM71" s="153"/>
      <c r="AN71" s="152"/>
      <c r="AO71" s="153"/>
    </row>
    <row r="72" spans="2:41" ht="12.75">
      <c r="B72" s="204"/>
      <c r="C72" s="493">
        <f t="shared" si="10"/>
      </c>
      <c r="D72" s="201"/>
      <c r="E72" s="639"/>
      <c r="F72" s="633">
        <f t="shared" si="11"/>
      </c>
      <c r="G72" s="318">
        <f t="shared" si="12"/>
      </c>
      <c r="H72" s="202"/>
      <c r="I72" s="321">
        <f t="shared" si="13"/>
      </c>
      <c r="J72" s="548"/>
      <c r="K72" s="203"/>
      <c r="L72" s="343">
        <f t="shared" si="14"/>
      </c>
      <c r="M72" s="191">
        <f t="shared" si="15"/>
      </c>
      <c r="N72" s="318">
        <f t="shared" si="16"/>
      </c>
      <c r="O72" s="345">
        <f t="shared" si="17"/>
      </c>
      <c r="P72" s="549"/>
      <c r="Q72" s="158"/>
      <c r="AH72" s="681" t="s">
        <v>171</v>
      </c>
      <c r="AI72" s="160" t="s">
        <v>126</v>
      </c>
      <c r="AJ72" s="84"/>
      <c r="AK72" s="84"/>
      <c r="AL72" s="152"/>
      <c r="AM72" s="153"/>
      <c r="AN72" s="152"/>
      <c r="AO72" s="153"/>
    </row>
    <row r="73" spans="2:41" ht="12.75">
      <c r="B73" s="204"/>
      <c r="C73" s="493">
        <f t="shared" si="10"/>
      </c>
      <c r="D73" s="201"/>
      <c r="E73" s="639"/>
      <c r="F73" s="633">
        <f t="shared" si="11"/>
      </c>
      <c r="G73" s="318">
        <f t="shared" si="12"/>
      </c>
      <c r="H73" s="202"/>
      <c r="I73" s="321">
        <f t="shared" si="13"/>
      </c>
      <c r="J73" s="548"/>
      <c r="K73" s="203"/>
      <c r="L73" s="343">
        <f t="shared" si="14"/>
      </c>
      <c r="M73" s="191">
        <f t="shared" si="15"/>
      </c>
      <c r="N73" s="318">
        <f t="shared" si="16"/>
      </c>
      <c r="O73" s="345">
        <f t="shared" si="17"/>
      </c>
      <c r="P73" s="549"/>
      <c r="Q73" s="158"/>
      <c r="AH73" s="682" t="s">
        <v>172</v>
      </c>
      <c r="AI73" s="161" t="s">
        <v>127</v>
      </c>
      <c r="AJ73" s="84"/>
      <c r="AK73" s="84"/>
      <c r="AL73" s="152"/>
      <c r="AM73" s="153"/>
      <c r="AN73" s="152"/>
      <c r="AO73" s="153"/>
    </row>
    <row r="74" spans="2:41" ht="12.75">
      <c r="B74" s="204"/>
      <c r="C74" s="493">
        <f t="shared" si="10"/>
      </c>
      <c r="D74" s="201"/>
      <c r="E74" s="639"/>
      <c r="F74" s="633">
        <f t="shared" si="11"/>
      </c>
      <c r="G74" s="318">
        <f t="shared" si="12"/>
      </c>
      <c r="H74" s="202"/>
      <c r="I74" s="321">
        <f t="shared" si="13"/>
      </c>
      <c r="J74" s="548"/>
      <c r="K74" s="203"/>
      <c r="L74" s="343">
        <f t="shared" si="14"/>
      </c>
      <c r="M74" s="191">
        <f t="shared" si="15"/>
      </c>
      <c r="N74" s="318">
        <f t="shared" si="16"/>
      </c>
      <c r="O74" s="345">
        <f t="shared" si="17"/>
      </c>
      <c r="P74" s="549"/>
      <c r="Q74" s="158"/>
      <c r="AH74" s="682" t="s">
        <v>127</v>
      </c>
      <c r="AI74" s="161" t="s">
        <v>128</v>
      </c>
      <c r="AJ74" s="84"/>
      <c r="AK74" s="84"/>
      <c r="AL74" s="152"/>
      <c r="AM74" s="153"/>
      <c r="AN74" s="152"/>
      <c r="AO74" s="153"/>
    </row>
    <row r="75" spans="2:41" ht="12.75">
      <c r="B75" s="204"/>
      <c r="C75" s="493">
        <f t="shared" si="10"/>
      </c>
      <c r="D75" s="201"/>
      <c r="E75" s="639"/>
      <c r="F75" s="633">
        <f t="shared" si="11"/>
      </c>
      <c r="G75" s="318">
        <f t="shared" si="12"/>
      </c>
      <c r="H75" s="202"/>
      <c r="I75" s="321">
        <f t="shared" si="13"/>
      </c>
      <c r="J75" s="548"/>
      <c r="K75" s="203"/>
      <c r="L75" s="343">
        <f t="shared" si="14"/>
      </c>
      <c r="M75" s="191">
        <f t="shared" si="15"/>
      </c>
      <c r="N75" s="318">
        <f t="shared" si="16"/>
      </c>
      <c r="O75" s="345">
        <f t="shared" si="17"/>
      </c>
      <c r="P75" s="549"/>
      <c r="Q75" s="158"/>
      <c r="AH75" s="682" t="s">
        <v>129</v>
      </c>
      <c r="AI75" s="161" t="s">
        <v>129</v>
      </c>
      <c r="AJ75" s="84"/>
      <c r="AK75" s="84"/>
      <c r="AL75" s="152"/>
      <c r="AM75" s="153"/>
      <c r="AN75" s="152"/>
      <c r="AO75" s="153"/>
    </row>
    <row r="76" spans="2:41" ht="12.75">
      <c r="B76" s="204"/>
      <c r="C76" s="493">
        <f t="shared" si="10"/>
      </c>
      <c r="D76" s="201"/>
      <c r="E76" s="639"/>
      <c r="F76" s="633">
        <f t="shared" si="11"/>
      </c>
      <c r="G76" s="318">
        <f t="shared" si="12"/>
      </c>
      <c r="H76" s="202"/>
      <c r="I76" s="321">
        <f t="shared" si="13"/>
      </c>
      <c r="J76" s="548"/>
      <c r="K76" s="203"/>
      <c r="L76" s="343">
        <f t="shared" si="14"/>
      </c>
      <c r="M76" s="191">
        <f t="shared" si="15"/>
      </c>
      <c r="N76" s="318">
        <f t="shared" si="16"/>
      </c>
      <c r="O76" s="345">
        <f t="shared" si="17"/>
      </c>
      <c r="P76" s="549"/>
      <c r="Q76" s="158"/>
      <c r="AH76" s="682" t="s">
        <v>131</v>
      </c>
      <c r="AI76" s="161" t="s">
        <v>130</v>
      </c>
      <c r="AJ76" s="84"/>
      <c r="AK76" s="84"/>
      <c r="AL76" s="152"/>
      <c r="AM76" s="153"/>
      <c r="AN76" s="152"/>
      <c r="AO76" s="153"/>
    </row>
    <row r="77" spans="2:41" ht="12.75">
      <c r="B77" s="204"/>
      <c r="C77" s="493">
        <f t="shared" si="10"/>
      </c>
      <c r="D77" s="201"/>
      <c r="E77" s="639"/>
      <c r="F77" s="633">
        <f t="shared" si="11"/>
      </c>
      <c r="G77" s="318">
        <f t="shared" si="12"/>
      </c>
      <c r="H77" s="202"/>
      <c r="I77" s="321">
        <f t="shared" si="13"/>
      </c>
      <c r="J77" s="548"/>
      <c r="K77" s="203"/>
      <c r="L77" s="343">
        <f t="shared" si="14"/>
      </c>
      <c r="M77" s="191">
        <f t="shared" si="15"/>
      </c>
      <c r="N77" s="318">
        <f t="shared" si="16"/>
      </c>
      <c r="O77" s="345">
        <f t="shared" si="17"/>
      </c>
      <c r="P77" s="549"/>
      <c r="Q77" s="158"/>
      <c r="AH77" s="682" t="s">
        <v>132</v>
      </c>
      <c r="AI77" s="161" t="s">
        <v>131</v>
      </c>
      <c r="AJ77" s="84"/>
      <c r="AK77" s="84"/>
      <c r="AL77" s="152"/>
      <c r="AM77" s="153"/>
      <c r="AN77" s="152"/>
      <c r="AO77" s="153"/>
    </row>
    <row r="78" spans="2:41" ht="12.75">
      <c r="B78" s="204"/>
      <c r="C78" s="493">
        <f t="shared" si="10"/>
      </c>
      <c r="D78" s="201"/>
      <c r="E78" s="639"/>
      <c r="F78" s="633">
        <f t="shared" si="11"/>
      </c>
      <c r="G78" s="318">
        <f t="shared" si="12"/>
      </c>
      <c r="H78" s="202"/>
      <c r="I78" s="321">
        <f t="shared" si="13"/>
      </c>
      <c r="J78" s="548"/>
      <c r="K78" s="203"/>
      <c r="L78" s="343">
        <f t="shared" si="14"/>
      </c>
      <c r="M78" s="191">
        <f t="shared" si="15"/>
      </c>
      <c r="N78" s="318">
        <f t="shared" si="16"/>
      </c>
      <c r="O78" s="345">
        <f t="shared" si="17"/>
      </c>
      <c r="P78" s="549"/>
      <c r="Q78" s="158"/>
      <c r="AH78" s="682" t="s">
        <v>148</v>
      </c>
      <c r="AI78" s="161" t="s">
        <v>132</v>
      </c>
      <c r="AJ78" s="84"/>
      <c r="AK78" s="84"/>
      <c r="AL78" s="152"/>
      <c r="AM78" s="153"/>
      <c r="AN78" s="152"/>
      <c r="AO78" s="153"/>
    </row>
    <row r="79" spans="2:41" ht="12.75">
      <c r="B79" s="204"/>
      <c r="C79" s="493">
        <f t="shared" si="10"/>
      </c>
      <c r="D79" s="201"/>
      <c r="E79" s="639"/>
      <c r="F79" s="633">
        <f t="shared" si="11"/>
      </c>
      <c r="G79" s="318">
        <f t="shared" si="12"/>
      </c>
      <c r="H79" s="202"/>
      <c r="I79" s="321">
        <f t="shared" si="13"/>
      </c>
      <c r="J79" s="548"/>
      <c r="K79" s="203"/>
      <c r="L79" s="343">
        <f t="shared" si="14"/>
      </c>
      <c r="M79" s="191">
        <f t="shared" si="15"/>
      </c>
      <c r="N79" s="318">
        <f t="shared" si="16"/>
      </c>
      <c r="O79" s="345">
        <f t="shared" si="17"/>
      </c>
      <c r="P79" s="549"/>
      <c r="Q79" s="158"/>
      <c r="AH79" s="682" t="s">
        <v>149</v>
      </c>
      <c r="AI79" s="161" t="s">
        <v>148</v>
      </c>
      <c r="AJ79" s="660"/>
      <c r="AK79" s="660"/>
      <c r="AL79" s="661"/>
      <c r="AM79" s="661"/>
      <c r="AN79" s="661"/>
      <c r="AO79" s="661"/>
    </row>
    <row r="80" spans="2:41" ht="12.75">
      <c r="B80" s="204"/>
      <c r="C80" s="493">
        <f t="shared" si="10"/>
      </c>
      <c r="D80" s="201"/>
      <c r="E80" s="639"/>
      <c r="F80" s="633">
        <f t="shared" si="11"/>
      </c>
      <c r="G80" s="318">
        <f t="shared" si="12"/>
      </c>
      <c r="H80" s="202"/>
      <c r="I80" s="321">
        <f t="shared" si="13"/>
      </c>
      <c r="J80" s="548"/>
      <c r="K80" s="203"/>
      <c r="L80" s="343">
        <f t="shared" si="14"/>
      </c>
      <c r="M80" s="191">
        <f t="shared" si="15"/>
      </c>
      <c r="N80" s="318">
        <f t="shared" si="16"/>
      </c>
      <c r="O80" s="345">
        <f t="shared" si="17"/>
      </c>
      <c r="P80" s="549"/>
      <c r="Q80" s="158"/>
      <c r="AH80" s="96" t="s">
        <v>335</v>
      </c>
      <c r="AI80" s="161" t="s">
        <v>149</v>
      </c>
      <c r="AJ80" s="163"/>
      <c r="AK80" s="164"/>
      <c r="AL80" s="163"/>
      <c r="AM80" s="164"/>
      <c r="AN80" s="165"/>
      <c r="AO80" s="166"/>
    </row>
    <row r="81" spans="2:41" ht="13.5" thickBot="1">
      <c r="B81" s="496"/>
      <c r="C81" s="497">
        <f t="shared" si="10"/>
      </c>
      <c r="D81" s="205"/>
      <c r="E81" s="640"/>
      <c r="F81" s="634">
        <f t="shared" si="11"/>
      </c>
      <c r="G81" s="319">
        <f t="shared" si="12"/>
      </c>
      <c r="H81" s="206"/>
      <c r="I81" s="322">
        <f t="shared" si="13"/>
      </c>
      <c r="J81" s="548"/>
      <c r="K81" s="207"/>
      <c r="L81" s="344">
        <f t="shared" si="14"/>
      </c>
      <c r="M81" s="193">
        <f t="shared" si="15"/>
      </c>
      <c r="N81" s="319">
        <f t="shared" si="16"/>
      </c>
      <c r="O81" s="346">
        <f t="shared" si="17"/>
      </c>
      <c r="P81" s="550"/>
      <c r="Q81" s="371"/>
      <c r="AH81" s="96" t="s">
        <v>336</v>
      </c>
      <c r="AI81" s="96" t="s">
        <v>335</v>
      </c>
      <c r="AJ81" s="163"/>
      <c r="AK81" s="164"/>
      <c r="AL81" s="163"/>
      <c r="AM81" s="164"/>
      <c r="AN81" s="165"/>
      <c r="AO81" s="166"/>
    </row>
    <row r="82" spans="2:44" ht="13.5" thickBot="1">
      <c r="B82" s="551"/>
      <c r="C82" s="170"/>
      <c r="D82" s="502" t="s">
        <v>111</v>
      </c>
      <c r="E82" s="544">
        <f>SUM(E67:E81)</f>
        <v>0</v>
      </c>
      <c r="F82" s="347"/>
      <c r="G82" s="275"/>
      <c r="H82" s="276"/>
      <c r="I82" s="276"/>
      <c r="J82" s="546"/>
      <c r="K82" s="276"/>
      <c r="L82" s="552"/>
      <c r="M82" s="274"/>
      <c r="N82" s="348"/>
      <c r="O82" s="553"/>
      <c r="P82" s="547"/>
      <c r="Q82" s="368"/>
      <c r="AH82" s="96" t="s">
        <v>337</v>
      </c>
      <c r="AI82" s="96" t="s">
        <v>336</v>
      </c>
      <c r="AJ82" s="163"/>
      <c r="AK82" s="164"/>
      <c r="AL82" s="163"/>
      <c r="AM82" s="164"/>
      <c r="AN82" s="165"/>
      <c r="AO82" s="166"/>
      <c r="AP82" s="110"/>
      <c r="AQ82" s="110"/>
      <c r="AR82" s="110"/>
    </row>
    <row r="83" spans="2:41" ht="39" thickBot="1">
      <c r="B83" s="177"/>
      <c r="C83" s="178"/>
      <c r="D83" s="273" t="s">
        <v>324</v>
      </c>
      <c r="E83" s="349"/>
      <c r="F83" s="274"/>
      <c r="G83" s="275"/>
      <c r="H83" s="276"/>
      <c r="I83" s="277">
        <f>IF($H83&gt;0,(VLOOKUP($H83,$AQ$5:$AR$7,2,FALSE)),"")</f>
      </c>
      <c r="J83" s="278" t="s">
        <v>208</v>
      </c>
      <c r="K83" s="276"/>
      <c r="L83" s="279">
        <f>IF($K83&gt;0,(VLOOKUP($K83,$AQ$24:$AR$30,2,FALSE)),"")</f>
      </c>
      <c r="M83" s="274"/>
      <c r="N83" s="274"/>
      <c r="O83" s="280" t="s">
        <v>279</v>
      </c>
      <c r="P83" s="547"/>
      <c r="Q83" s="368"/>
      <c r="AH83" s="682" t="s">
        <v>151</v>
      </c>
      <c r="AI83" s="96" t="s">
        <v>337</v>
      </c>
      <c r="AJ83" s="163"/>
      <c r="AK83" s="164"/>
      <c r="AL83" s="163"/>
      <c r="AM83" s="164"/>
      <c r="AN83" s="165"/>
      <c r="AO83" s="166"/>
    </row>
    <row r="84" spans="2:44" ht="12.75">
      <c r="B84" s="489"/>
      <c r="C84" s="490" t="str">
        <f aca="true" t="shared" si="18" ref="C84:C98">IF($D84&gt;0,(VLOOKUP($D84,$AH$52:$AO$68,2,FALSE)),"")</f>
        <v>J23</v>
      </c>
      <c r="D84" s="208" t="s">
        <v>182</v>
      </c>
      <c r="E84" s="641">
        <v>4.1</v>
      </c>
      <c r="F84" s="632" t="str">
        <f aca="true" t="shared" si="19" ref="F84:F98">IF($D84&gt;0,(VLOOKUP($D84,$AH$52:$AO$68,3,FALSE)),"")</f>
        <v>Medium-High</v>
      </c>
      <c r="G84" s="317">
        <f aca="true" t="shared" si="20" ref="G84:G98">IF($D84&gt;0,(VLOOKUP($F84,$AQ$5:$AR$10,2,FALSE)),"")</f>
        <v>5</v>
      </c>
      <c r="H84" s="200" t="s">
        <v>70</v>
      </c>
      <c r="I84" s="320">
        <f aca="true" t="shared" si="21" ref="I84:I98">IF($H84&gt;0,(VLOOKUP($H84,$AQ$13:$AR$15,2,FALSE)),"")</f>
        <v>3</v>
      </c>
      <c r="J84" s="209">
        <v>41</v>
      </c>
      <c r="K84" s="189" t="s">
        <v>87</v>
      </c>
      <c r="L84" s="342">
        <f aca="true" t="shared" si="22" ref="L84:L98">IF($K84&gt;0,(VLOOKUP($K84,$AQ$18:$AR$24,2,FALSE)),"")</f>
        <v>1.4</v>
      </c>
      <c r="M84" s="188" t="str">
        <f aca="true" t="shared" si="23" ref="M84:M98">IF($D84&gt;0,(VLOOKUP($D84,$AH$52:$AO$68,7,FALSE)),"")</f>
        <v>Low</v>
      </c>
      <c r="N84" s="317">
        <f aca="true" t="shared" si="24" ref="N84:N98">IF($D84&gt;0,(VLOOKUP($M84,$AQ$27:$AR$31,2,FALSE)),"")</f>
        <v>1</v>
      </c>
      <c r="O84" s="337">
        <f aca="true" t="shared" si="25" ref="O84:O98">IF(D84&gt;0,((E84*G84*I84-J84)/L84/N84),"")</f>
        <v>14.642857142857144</v>
      </c>
      <c r="P84" s="554"/>
      <c r="Q84" s="370"/>
      <c r="AH84" s="682" t="s">
        <v>152</v>
      </c>
      <c r="AI84" s="161" t="s">
        <v>151</v>
      </c>
      <c r="AJ84" s="163"/>
      <c r="AK84" s="164"/>
      <c r="AL84" s="163"/>
      <c r="AM84" s="164"/>
      <c r="AN84" s="165"/>
      <c r="AO84" s="166"/>
      <c r="AP84" s="110"/>
      <c r="AQ84" s="110"/>
      <c r="AR84" s="110"/>
    </row>
    <row r="85" spans="2:41" ht="12.75">
      <c r="B85" s="204"/>
      <c r="C85" s="493">
        <f t="shared" si="18"/>
      </c>
      <c r="D85" s="210"/>
      <c r="E85" s="642"/>
      <c r="F85" s="633">
        <f t="shared" si="19"/>
      </c>
      <c r="G85" s="318">
        <f t="shared" si="20"/>
      </c>
      <c r="H85" s="202"/>
      <c r="I85" s="321">
        <f t="shared" si="21"/>
      </c>
      <c r="J85" s="211"/>
      <c r="K85" s="203"/>
      <c r="L85" s="343">
        <f t="shared" si="22"/>
      </c>
      <c r="M85" s="191">
        <f t="shared" si="23"/>
      </c>
      <c r="N85" s="318">
        <f t="shared" si="24"/>
      </c>
      <c r="O85" s="345">
        <f t="shared" si="25"/>
      </c>
      <c r="P85" s="549"/>
      <c r="Q85" s="158"/>
      <c r="AH85" s="682" t="s">
        <v>153</v>
      </c>
      <c r="AI85" s="161" t="s">
        <v>152</v>
      </c>
      <c r="AJ85" s="163"/>
      <c r="AK85" s="164"/>
      <c r="AL85" s="163"/>
      <c r="AM85" s="164"/>
      <c r="AN85" s="163"/>
      <c r="AO85" s="164"/>
    </row>
    <row r="86" spans="2:41" ht="12.75">
      <c r="B86" s="204"/>
      <c r="C86" s="493">
        <f t="shared" si="18"/>
      </c>
      <c r="D86" s="210"/>
      <c r="E86" s="642"/>
      <c r="F86" s="633">
        <f t="shared" si="19"/>
      </c>
      <c r="G86" s="318">
        <f t="shared" si="20"/>
      </c>
      <c r="H86" s="202"/>
      <c r="I86" s="321">
        <f t="shared" si="21"/>
      </c>
      <c r="J86" s="211"/>
      <c r="K86" s="203"/>
      <c r="L86" s="343">
        <f t="shared" si="22"/>
      </c>
      <c r="M86" s="191">
        <f t="shared" si="23"/>
      </c>
      <c r="N86" s="318">
        <f t="shared" si="24"/>
      </c>
      <c r="O86" s="345">
        <f t="shared" si="25"/>
      </c>
      <c r="P86" s="549"/>
      <c r="Q86" s="158"/>
      <c r="AH86" s="682" t="s">
        <v>154</v>
      </c>
      <c r="AI86" s="161" t="s">
        <v>153</v>
      </c>
      <c r="AJ86" s="163"/>
      <c r="AK86" s="164"/>
      <c r="AL86" s="163"/>
      <c r="AM86" s="164"/>
      <c r="AN86" s="165"/>
      <c r="AO86" s="166"/>
    </row>
    <row r="87" spans="2:41" ht="12.75">
      <c r="B87" s="204"/>
      <c r="C87" s="493">
        <f t="shared" si="18"/>
      </c>
      <c r="D87" s="210"/>
      <c r="E87" s="642"/>
      <c r="F87" s="633">
        <f t="shared" si="19"/>
      </c>
      <c r="G87" s="318">
        <f t="shared" si="20"/>
      </c>
      <c r="H87" s="202"/>
      <c r="I87" s="321">
        <f t="shared" si="21"/>
      </c>
      <c r="J87" s="211"/>
      <c r="K87" s="203"/>
      <c r="L87" s="343">
        <f t="shared" si="22"/>
      </c>
      <c r="M87" s="191">
        <f t="shared" si="23"/>
      </c>
      <c r="N87" s="318">
        <f t="shared" si="24"/>
      </c>
      <c r="O87" s="345">
        <f t="shared" si="25"/>
      </c>
      <c r="P87" s="549"/>
      <c r="Q87" s="158"/>
      <c r="AH87" s="682" t="s">
        <v>155</v>
      </c>
      <c r="AI87" s="161" t="s">
        <v>154</v>
      </c>
      <c r="AJ87" s="163"/>
      <c r="AK87" s="164"/>
      <c r="AL87" s="163"/>
      <c r="AM87" s="164"/>
      <c r="AN87" s="165"/>
      <c r="AO87" s="166"/>
    </row>
    <row r="88" spans="2:41" ht="12.75">
      <c r="B88" s="204"/>
      <c r="C88" s="493">
        <f t="shared" si="18"/>
      </c>
      <c r="D88" s="210"/>
      <c r="E88" s="642"/>
      <c r="F88" s="633">
        <f t="shared" si="19"/>
      </c>
      <c r="G88" s="318">
        <f t="shared" si="20"/>
      </c>
      <c r="H88" s="202"/>
      <c r="I88" s="321">
        <f t="shared" si="21"/>
      </c>
      <c r="J88" s="211"/>
      <c r="K88" s="203"/>
      <c r="L88" s="343">
        <f t="shared" si="22"/>
      </c>
      <c r="M88" s="191">
        <f t="shared" si="23"/>
      </c>
      <c r="N88" s="318">
        <f t="shared" si="24"/>
      </c>
      <c r="O88" s="345">
        <f t="shared" si="25"/>
      </c>
      <c r="P88" s="549"/>
      <c r="Q88" s="158"/>
      <c r="AH88" s="682" t="s">
        <v>156</v>
      </c>
      <c r="AI88" s="161" t="s">
        <v>155</v>
      </c>
      <c r="AJ88" s="163"/>
      <c r="AK88" s="164"/>
      <c r="AL88" s="163"/>
      <c r="AM88" s="164"/>
      <c r="AN88" s="165"/>
      <c r="AO88" s="166"/>
    </row>
    <row r="89" spans="2:41" ht="12.75">
      <c r="B89" s="204"/>
      <c r="C89" s="493">
        <f t="shared" si="18"/>
      </c>
      <c r="D89" s="210"/>
      <c r="E89" s="642"/>
      <c r="F89" s="633">
        <f t="shared" si="19"/>
      </c>
      <c r="G89" s="318">
        <f t="shared" si="20"/>
      </c>
      <c r="H89" s="202"/>
      <c r="I89" s="321">
        <f t="shared" si="21"/>
      </c>
      <c r="J89" s="211"/>
      <c r="K89" s="203"/>
      <c r="L89" s="343">
        <f t="shared" si="22"/>
      </c>
      <c r="M89" s="191">
        <f t="shared" si="23"/>
      </c>
      <c r="N89" s="318">
        <f t="shared" si="24"/>
      </c>
      <c r="O89" s="345">
        <f t="shared" si="25"/>
      </c>
      <c r="P89" s="549"/>
      <c r="Q89" s="158"/>
      <c r="AH89" s="682" t="s">
        <v>157</v>
      </c>
      <c r="AI89" s="161" t="s">
        <v>156</v>
      </c>
      <c r="AJ89" s="163"/>
      <c r="AK89" s="164"/>
      <c r="AL89" s="163"/>
      <c r="AM89" s="164"/>
      <c r="AN89" s="165"/>
      <c r="AO89" s="166"/>
    </row>
    <row r="90" spans="2:41" ht="12.75">
      <c r="B90" s="204"/>
      <c r="C90" s="493">
        <f t="shared" si="18"/>
      </c>
      <c r="D90" s="210"/>
      <c r="E90" s="642"/>
      <c r="F90" s="633">
        <f t="shared" si="19"/>
      </c>
      <c r="G90" s="318">
        <f t="shared" si="20"/>
      </c>
      <c r="H90" s="202"/>
      <c r="I90" s="321">
        <f t="shared" si="21"/>
      </c>
      <c r="J90" s="211"/>
      <c r="K90" s="203"/>
      <c r="L90" s="343">
        <f t="shared" si="22"/>
      </c>
      <c r="M90" s="191">
        <f t="shared" si="23"/>
      </c>
      <c r="N90" s="318">
        <f t="shared" si="24"/>
      </c>
      <c r="O90" s="345">
        <f t="shared" si="25"/>
      </c>
      <c r="P90" s="549"/>
      <c r="Q90" s="158"/>
      <c r="AH90" s="682" t="s">
        <v>162</v>
      </c>
      <c r="AI90" s="161" t="s">
        <v>157</v>
      </c>
      <c r="AJ90" s="163"/>
      <c r="AK90" s="164"/>
      <c r="AL90" s="163"/>
      <c r="AM90" s="164"/>
      <c r="AN90" s="165"/>
      <c r="AO90" s="166"/>
    </row>
    <row r="91" spans="2:41" ht="12.75">
      <c r="B91" s="204"/>
      <c r="C91" s="493">
        <f t="shared" si="18"/>
      </c>
      <c r="D91" s="210"/>
      <c r="E91" s="642"/>
      <c r="F91" s="633">
        <f t="shared" si="19"/>
      </c>
      <c r="G91" s="318">
        <f t="shared" si="20"/>
      </c>
      <c r="H91" s="202"/>
      <c r="I91" s="321">
        <f t="shared" si="21"/>
      </c>
      <c r="J91" s="211"/>
      <c r="K91" s="203"/>
      <c r="L91" s="343">
        <f t="shared" si="22"/>
      </c>
      <c r="M91" s="191">
        <f t="shared" si="23"/>
      </c>
      <c r="N91" s="318">
        <f t="shared" si="24"/>
      </c>
      <c r="O91" s="345">
        <f t="shared" si="25"/>
      </c>
      <c r="P91" s="549"/>
      <c r="Q91" s="158"/>
      <c r="AH91" s="682" t="s">
        <v>210</v>
      </c>
      <c r="AI91" s="161" t="s">
        <v>162</v>
      </c>
      <c r="AJ91" s="163"/>
      <c r="AK91" s="164"/>
      <c r="AL91" s="163"/>
      <c r="AM91" s="164"/>
      <c r="AN91" s="165"/>
      <c r="AO91" s="166"/>
    </row>
    <row r="92" spans="1:65" s="113" customFormat="1" ht="12.75">
      <c r="A92" s="78"/>
      <c r="B92" s="204"/>
      <c r="C92" s="493">
        <f t="shared" si="18"/>
      </c>
      <c r="D92" s="210"/>
      <c r="E92" s="642"/>
      <c r="F92" s="633">
        <f t="shared" si="19"/>
      </c>
      <c r="G92" s="318">
        <f t="shared" si="20"/>
      </c>
      <c r="H92" s="202"/>
      <c r="I92" s="321">
        <f t="shared" si="21"/>
      </c>
      <c r="J92" s="211"/>
      <c r="K92" s="203"/>
      <c r="L92" s="343">
        <f t="shared" si="22"/>
      </c>
      <c r="M92" s="191">
        <f t="shared" si="23"/>
      </c>
      <c r="N92" s="318">
        <f t="shared" si="24"/>
      </c>
      <c r="O92" s="345">
        <f t="shared" si="25"/>
      </c>
      <c r="P92" s="549"/>
      <c r="Q92" s="158"/>
      <c r="R92" s="78"/>
      <c r="S92" s="78"/>
      <c r="T92" s="78"/>
      <c r="U92" s="78"/>
      <c r="V92" s="78"/>
      <c r="W92" s="78"/>
      <c r="X92" s="78"/>
      <c r="Y92" s="78"/>
      <c r="Z92" s="78"/>
      <c r="AA92" s="77"/>
      <c r="AB92" s="77"/>
      <c r="AC92" s="77"/>
      <c r="AD92" s="77"/>
      <c r="AE92" s="77"/>
      <c r="AF92" s="77"/>
      <c r="AG92" s="80"/>
      <c r="AH92" s="682"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493">
        <f t="shared" si="18"/>
      </c>
      <c r="D93" s="212"/>
      <c r="E93" s="642"/>
      <c r="F93" s="633">
        <f t="shared" si="19"/>
      </c>
      <c r="G93" s="318">
        <f t="shared" si="20"/>
      </c>
      <c r="H93" s="202"/>
      <c r="I93" s="321">
        <f t="shared" si="21"/>
      </c>
      <c r="J93" s="211"/>
      <c r="K93" s="203"/>
      <c r="L93" s="343">
        <f t="shared" si="22"/>
      </c>
      <c r="M93" s="191">
        <f t="shared" si="23"/>
      </c>
      <c r="N93" s="318">
        <f t="shared" si="24"/>
      </c>
      <c r="O93" s="345">
        <f t="shared" si="25"/>
      </c>
      <c r="P93" s="549"/>
      <c r="Q93" s="158"/>
      <c r="AH93" s="682" t="s">
        <v>160</v>
      </c>
      <c r="AI93" s="161" t="s">
        <v>161</v>
      </c>
      <c r="AJ93" s="163"/>
      <c r="AK93" s="164"/>
      <c r="AL93" s="163"/>
      <c r="AM93" s="164"/>
      <c r="AN93" s="165"/>
      <c r="AO93" s="166"/>
    </row>
    <row r="94" spans="1:65" s="113" customFormat="1" ht="12.75">
      <c r="A94" s="78"/>
      <c r="B94" s="204"/>
      <c r="C94" s="493">
        <f t="shared" si="18"/>
      </c>
      <c r="D94" s="210"/>
      <c r="E94" s="642"/>
      <c r="F94" s="633">
        <f t="shared" si="19"/>
      </c>
      <c r="G94" s="318">
        <f t="shared" si="20"/>
      </c>
      <c r="H94" s="202"/>
      <c r="I94" s="321">
        <f t="shared" si="21"/>
      </c>
      <c r="J94" s="211"/>
      <c r="K94" s="203"/>
      <c r="L94" s="343">
        <f t="shared" si="22"/>
      </c>
      <c r="M94" s="191">
        <f t="shared" si="23"/>
      </c>
      <c r="N94" s="318">
        <f t="shared" si="24"/>
      </c>
      <c r="O94" s="345">
        <f t="shared" si="25"/>
      </c>
      <c r="P94" s="549"/>
      <c r="Q94" s="158"/>
      <c r="R94" s="78"/>
      <c r="S94" s="78"/>
      <c r="T94" s="78"/>
      <c r="U94" s="78"/>
      <c r="V94" s="78"/>
      <c r="W94" s="78"/>
      <c r="X94" s="78"/>
      <c r="Y94" s="78"/>
      <c r="Z94" s="78"/>
      <c r="AA94" s="77"/>
      <c r="AB94" s="77"/>
      <c r="AC94" s="77"/>
      <c r="AD94" s="77"/>
      <c r="AE94" s="77"/>
      <c r="AF94" s="77"/>
      <c r="AG94" s="80"/>
      <c r="AH94" s="682"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493">
        <f t="shared" si="18"/>
      </c>
      <c r="D95" s="210"/>
      <c r="E95" s="642"/>
      <c r="F95" s="633">
        <f t="shared" si="19"/>
      </c>
      <c r="G95" s="318">
        <f t="shared" si="20"/>
      </c>
      <c r="H95" s="202"/>
      <c r="I95" s="321">
        <f t="shared" si="21"/>
      </c>
      <c r="J95" s="211"/>
      <c r="K95" s="203"/>
      <c r="L95" s="343">
        <f t="shared" si="22"/>
      </c>
      <c r="M95" s="191">
        <f t="shared" si="23"/>
      </c>
      <c r="N95" s="318">
        <f t="shared" si="24"/>
      </c>
      <c r="O95" s="345">
        <f t="shared" si="25"/>
      </c>
      <c r="P95" s="549"/>
      <c r="Q95" s="158"/>
      <c r="AH95" s="682" t="s">
        <v>169</v>
      </c>
      <c r="AI95" s="161" t="s">
        <v>169</v>
      </c>
      <c r="AJ95" s="163"/>
      <c r="AK95" s="164"/>
      <c r="AL95" s="163"/>
      <c r="AM95" s="164"/>
      <c r="AN95" s="165"/>
      <c r="AO95" s="166"/>
    </row>
    <row r="96" spans="2:41" ht="12.75">
      <c r="B96" s="204"/>
      <c r="C96" s="493">
        <f t="shared" si="18"/>
      </c>
      <c r="D96" s="210"/>
      <c r="E96" s="642"/>
      <c r="F96" s="633">
        <f t="shared" si="19"/>
      </c>
      <c r="G96" s="318">
        <f t="shared" si="20"/>
      </c>
      <c r="H96" s="202"/>
      <c r="I96" s="321">
        <f t="shared" si="21"/>
      </c>
      <c r="J96" s="211"/>
      <c r="K96" s="203"/>
      <c r="L96" s="343">
        <f t="shared" si="22"/>
      </c>
      <c r="M96" s="191">
        <f t="shared" si="23"/>
      </c>
      <c r="N96" s="318">
        <f t="shared" si="24"/>
      </c>
      <c r="O96" s="345">
        <f t="shared" si="25"/>
      </c>
      <c r="P96" s="549"/>
      <c r="Q96" s="158"/>
      <c r="AH96" s="682" t="s">
        <v>170</v>
      </c>
      <c r="AI96" s="161" t="s">
        <v>170</v>
      </c>
      <c r="AJ96" s="163"/>
      <c r="AK96" s="164"/>
      <c r="AL96" s="163"/>
      <c r="AM96" s="164"/>
      <c r="AN96" s="165"/>
      <c r="AO96" s="166"/>
    </row>
    <row r="97" spans="1:65" s="113" customFormat="1" ht="12.75">
      <c r="A97" s="78"/>
      <c r="B97" s="204"/>
      <c r="C97" s="493">
        <f t="shared" si="18"/>
      </c>
      <c r="D97" s="210"/>
      <c r="E97" s="642"/>
      <c r="F97" s="633">
        <f t="shared" si="19"/>
      </c>
      <c r="G97" s="318">
        <f t="shared" si="20"/>
      </c>
      <c r="H97" s="202"/>
      <c r="I97" s="321">
        <f t="shared" si="21"/>
      </c>
      <c r="J97" s="211"/>
      <c r="K97" s="203"/>
      <c r="L97" s="343">
        <f t="shared" si="22"/>
      </c>
      <c r="M97" s="191">
        <f t="shared" si="23"/>
      </c>
      <c r="N97" s="318">
        <f t="shared" si="24"/>
      </c>
      <c r="O97" s="345">
        <f t="shared" si="25"/>
      </c>
      <c r="P97" s="549"/>
      <c r="Q97" s="158"/>
      <c r="R97" s="78"/>
      <c r="S97" s="78"/>
      <c r="T97" s="78"/>
      <c r="U97" s="78"/>
      <c r="V97" s="78"/>
      <c r="W97" s="78"/>
      <c r="X97" s="78"/>
      <c r="Y97" s="78"/>
      <c r="Z97" s="78"/>
      <c r="AA97" s="77"/>
      <c r="AB97" s="77"/>
      <c r="AC97" s="77"/>
      <c r="AD97" s="77"/>
      <c r="AE97" s="77"/>
      <c r="AF97" s="77"/>
      <c r="AG97" s="80"/>
      <c r="AH97" s="682"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5"/>
      <c r="C98" s="497">
        <f t="shared" si="18"/>
      </c>
      <c r="D98" s="213"/>
      <c r="E98" s="643"/>
      <c r="F98" s="634">
        <f t="shared" si="19"/>
      </c>
      <c r="G98" s="319">
        <f t="shared" si="20"/>
      </c>
      <c r="H98" s="206"/>
      <c r="I98" s="322">
        <f t="shared" si="21"/>
      </c>
      <c r="J98" s="214"/>
      <c r="K98" s="207"/>
      <c r="L98" s="344">
        <f t="shared" si="22"/>
      </c>
      <c r="M98" s="193">
        <f t="shared" si="23"/>
      </c>
      <c r="N98" s="319">
        <f t="shared" si="24"/>
      </c>
      <c r="O98" s="346">
        <f t="shared" si="25"/>
      </c>
      <c r="P98" s="550"/>
      <c r="Q98" s="371"/>
      <c r="AH98" s="682" t="s">
        <v>164</v>
      </c>
      <c r="AI98" s="161" t="s">
        <v>164</v>
      </c>
      <c r="AJ98" s="163"/>
      <c r="AK98" s="164"/>
      <c r="AL98" s="163"/>
      <c r="AM98" s="164"/>
      <c r="AN98" s="165"/>
      <c r="AO98" s="166"/>
    </row>
    <row r="99" spans="2:41" ht="13.5" customHeight="1" thickBot="1">
      <c r="B99" s="500"/>
      <c r="C99" s="170"/>
      <c r="D99" s="556" t="s">
        <v>111</v>
      </c>
      <c r="E99" s="557">
        <f>SUM(E84:E98)</f>
        <v>4.1</v>
      </c>
      <c r="F99" s="171">
        <f>IF($E$99&lt;&gt;$L$45,"ERROR - Total length of features enhancement must equal total length of features to be enhanced above","")</f>
      </c>
      <c r="G99" s="517"/>
      <c r="H99" s="517"/>
      <c r="I99" s="517"/>
      <c r="J99" s="517"/>
      <c r="K99" s="517"/>
      <c r="L99" s="558"/>
      <c r="M99" s="215"/>
      <c r="N99" s="350" t="s">
        <v>213</v>
      </c>
      <c r="O99" s="559">
        <f>'Linear trading down correction'!J86</f>
        <v>0</v>
      </c>
      <c r="P99" s="369"/>
      <c r="Q99" s="135"/>
      <c r="AA99" s="78"/>
      <c r="AB99" s="78"/>
      <c r="AC99" s="78"/>
      <c r="AD99" s="78"/>
      <c r="AE99" s="78"/>
      <c r="AF99" s="78"/>
      <c r="AG99" s="110"/>
      <c r="AH99" s="682" t="s">
        <v>165</v>
      </c>
      <c r="AI99" s="161" t="s">
        <v>165</v>
      </c>
      <c r="AJ99" s="163"/>
      <c r="AK99" s="164"/>
      <c r="AL99" s="163"/>
      <c r="AM99" s="164"/>
      <c r="AN99" s="165"/>
      <c r="AO99" s="166"/>
    </row>
    <row r="100" spans="2:41" ht="12.75" customHeight="1" thickBot="1">
      <c r="B100" s="560"/>
      <c r="C100" s="182"/>
      <c r="D100" s="561"/>
      <c r="E100" s="561"/>
      <c r="F100" s="562">
        <f>IF(($E$99&gt;0)*AND(SUM($J$84:$J$98)&lt;&gt;$M$45),"ERROR - Please enter respective existing values for features to be enhanced","")</f>
      </c>
      <c r="G100" s="182"/>
      <c r="H100" s="182"/>
      <c r="I100" s="182"/>
      <c r="J100" s="561"/>
      <c r="K100" s="561"/>
      <c r="L100" s="563"/>
      <c r="M100" s="564"/>
      <c r="N100" s="565" t="s">
        <v>252</v>
      </c>
      <c r="O100" s="566">
        <f>SUM(O67:O99)</f>
        <v>14.642857142857144</v>
      </c>
      <c r="P100" s="181"/>
      <c r="Q100" s="363"/>
      <c r="AH100" s="682" t="s">
        <v>166</v>
      </c>
      <c r="AI100" s="161" t="s">
        <v>166</v>
      </c>
      <c r="AJ100" s="163"/>
      <c r="AK100" s="164"/>
      <c r="AL100" s="163"/>
      <c r="AM100" s="164"/>
      <c r="AN100" s="163"/>
      <c r="AO100" s="164"/>
    </row>
    <row r="101" spans="2:41" ht="13.5" thickBot="1">
      <c r="B101" s="186"/>
      <c r="C101" s="115"/>
      <c r="D101" s="115"/>
      <c r="E101" s="115"/>
      <c r="F101" s="115"/>
      <c r="G101" s="115"/>
      <c r="H101" s="115"/>
      <c r="I101" s="115"/>
      <c r="J101" s="485"/>
      <c r="K101" s="485"/>
      <c r="L101" s="567"/>
      <c r="M101" s="561"/>
      <c r="N101" s="568"/>
      <c r="O101" s="569" t="s">
        <v>260</v>
      </c>
      <c r="P101" s="359"/>
      <c r="Q101" s="77"/>
      <c r="AH101" s="682" t="s">
        <v>167</v>
      </c>
      <c r="AI101" s="161" t="s">
        <v>167</v>
      </c>
      <c r="AJ101" s="163"/>
      <c r="AK101" s="164"/>
      <c r="AL101" s="163"/>
      <c r="AM101" s="164"/>
      <c r="AN101" s="163"/>
      <c r="AO101" s="164"/>
    </row>
    <row r="102" spans="2:41" ht="13.5" thickBot="1">
      <c r="B102" s="186"/>
      <c r="C102" s="115"/>
      <c r="D102" s="115"/>
      <c r="E102" s="115"/>
      <c r="F102" s="115"/>
      <c r="G102" s="115"/>
      <c r="H102" s="485"/>
      <c r="I102" s="485"/>
      <c r="J102" s="485"/>
      <c r="K102" s="485"/>
      <c r="L102" s="527"/>
      <c r="M102" s="571"/>
      <c r="N102" s="572" t="s">
        <v>259</v>
      </c>
      <c r="O102" s="573">
        <f>(O100-O61)</f>
        <v>14.642857142857144</v>
      </c>
      <c r="P102" s="77" t="str">
        <f>IF($O$102&lt;0,"Loss",IF($O$102&gt;0,"Gain",""))</f>
        <v>Gain</v>
      </c>
      <c r="Q102" s="78"/>
      <c r="AH102" s="682" t="s">
        <v>188</v>
      </c>
      <c r="AI102" s="161" t="s">
        <v>188</v>
      </c>
      <c r="AJ102" s="163"/>
      <c r="AK102" s="164"/>
      <c r="AL102" s="163"/>
      <c r="AM102" s="164"/>
      <c r="AN102" s="165"/>
      <c r="AO102" s="166"/>
    </row>
    <row r="103" spans="2:41" ht="13.5" thickBot="1">
      <c r="B103" s="186"/>
      <c r="C103" s="115"/>
      <c r="D103" s="485"/>
      <c r="E103" s="485"/>
      <c r="F103" s="485"/>
      <c r="G103" s="485"/>
      <c r="H103" s="485"/>
      <c r="I103" s="485"/>
      <c r="J103" s="485"/>
      <c r="K103" s="485"/>
      <c r="L103" s="574"/>
      <c r="M103" s="575"/>
      <c r="N103" s="576" t="s">
        <v>253</v>
      </c>
      <c r="O103" s="577">
        <f>IF(O102&lt;0,-(100/O61)*O102,"")</f>
      </c>
      <c r="P103" s="360"/>
      <c r="Q103" s="77"/>
      <c r="AH103" s="682"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82" t="s">
        <v>190</v>
      </c>
      <c r="AI104" s="161" t="s">
        <v>190</v>
      </c>
      <c r="AJ104" s="163"/>
      <c r="AK104" s="164"/>
      <c r="AL104" s="163"/>
      <c r="AM104" s="164"/>
      <c r="AN104" s="163"/>
      <c r="AO104" s="164"/>
    </row>
    <row r="105" spans="2:41" ht="13.5" thickBot="1">
      <c r="B105" s="105"/>
      <c r="C105" s="295" t="s">
        <v>5</v>
      </c>
      <c r="D105" s="296"/>
      <c r="E105" s="78"/>
      <c r="F105" s="77"/>
      <c r="G105" s="77"/>
      <c r="H105" s="78"/>
      <c r="I105" s="78"/>
      <c r="J105" s="78"/>
      <c r="K105" s="78"/>
      <c r="L105" s="78"/>
      <c r="M105" s="78"/>
      <c r="N105" s="78"/>
      <c r="O105" s="78"/>
      <c r="P105" s="78"/>
      <c r="Q105" s="78"/>
      <c r="AH105" s="682"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82" t="s">
        <v>137</v>
      </c>
      <c r="AI106" s="161" t="s">
        <v>137</v>
      </c>
      <c r="AJ106" s="163"/>
      <c r="AK106" s="164"/>
      <c r="AL106" s="163"/>
      <c r="AM106" s="164"/>
      <c r="AN106" s="165"/>
      <c r="AO106" s="166"/>
    </row>
    <row r="107" spans="2:41" ht="12.75">
      <c r="B107" s="105"/>
      <c r="C107" s="329"/>
      <c r="D107" s="300" t="s">
        <v>74</v>
      </c>
      <c r="E107" s="78"/>
      <c r="F107" s="77"/>
      <c r="G107" s="77"/>
      <c r="H107" s="78"/>
      <c r="I107" s="78"/>
      <c r="J107" s="78"/>
      <c r="K107" s="78"/>
      <c r="L107" s="78"/>
      <c r="M107" s="78"/>
      <c r="N107" s="78"/>
      <c r="O107" s="78"/>
      <c r="P107" s="78"/>
      <c r="Q107" s="78"/>
      <c r="AH107" s="682" t="s">
        <v>329</v>
      </c>
      <c r="AI107" s="161" t="s">
        <v>140</v>
      </c>
      <c r="AJ107" s="163"/>
      <c r="AK107" s="164"/>
      <c r="AL107" s="163"/>
      <c r="AM107" s="164"/>
      <c r="AN107" s="165"/>
      <c r="AO107" s="166"/>
    </row>
    <row r="108" spans="2:41" ht="13.5" thickBot="1">
      <c r="B108" s="105"/>
      <c r="C108" s="330"/>
      <c r="D108" s="300" t="s">
        <v>122</v>
      </c>
      <c r="E108" s="78"/>
      <c r="F108" s="77"/>
      <c r="G108" s="77"/>
      <c r="H108" s="78"/>
      <c r="I108" s="78"/>
      <c r="J108" s="78"/>
      <c r="K108" s="78"/>
      <c r="L108" s="78"/>
      <c r="M108" s="78"/>
      <c r="N108" s="78"/>
      <c r="O108" s="78"/>
      <c r="P108" s="78"/>
      <c r="Q108" s="78"/>
      <c r="AH108" s="682" t="s">
        <v>134</v>
      </c>
      <c r="AI108" s="685" t="s">
        <v>327</v>
      </c>
      <c r="AJ108" s="163"/>
      <c r="AK108" s="164"/>
      <c r="AL108" s="163"/>
      <c r="AM108" s="164"/>
      <c r="AN108" s="165"/>
      <c r="AO108" s="166"/>
    </row>
    <row r="109" spans="2:41" ht="12.75">
      <c r="B109" s="105"/>
      <c r="C109" s="331"/>
      <c r="D109" s="300" t="s">
        <v>7</v>
      </c>
      <c r="E109" s="78"/>
      <c r="F109" s="77"/>
      <c r="G109" s="77"/>
      <c r="H109" s="78"/>
      <c r="I109" s="78"/>
      <c r="J109" s="78"/>
      <c r="K109" s="78"/>
      <c r="L109" s="78"/>
      <c r="M109" s="78"/>
      <c r="N109" s="78"/>
      <c r="O109" s="78"/>
      <c r="P109" s="78"/>
      <c r="Q109" s="78"/>
      <c r="AH109" s="161" t="s">
        <v>135</v>
      </c>
      <c r="AI109" s="686"/>
      <c r="AJ109" s="163"/>
      <c r="AK109" s="164"/>
      <c r="AL109" s="163"/>
      <c r="AM109" s="164"/>
      <c r="AN109" s="165"/>
      <c r="AO109" s="166"/>
    </row>
    <row r="110" spans="2:41" ht="13.5" thickBot="1">
      <c r="B110" s="105"/>
      <c r="C110" s="332"/>
      <c r="D110" s="300" t="s">
        <v>73</v>
      </c>
      <c r="E110" s="78"/>
      <c r="F110" s="78"/>
      <c r="G110" s="78"/>
      <c r="H110" s="78"/>
      <c r="I110" s="78"/>
      <c r="J110" s="78"/>
      <c r="K110" s="78"/>
      <c r="L110" s="78"/>
      <c r="M110" s="78"/>
      <c r="N110" s="78"/>
      <c r="O110" s="78"/>
      <c r="P110" s="78"/>
      <c r="Q110" s="78"/>
      <c r="AH110" s="161" t="s">
        <v>139</v>
      </c>
      <c r="AI110" s="687"/>
      <c r="AJ110" s="163"/>
      <c r="AK110" s="164"/>
      <c r="AL110" s="163"/>
      <c r="AM110" s="164"/>
      <c r="AN110" s="165"/>
      <c r="AO110" s="166"/>
    </row>
    <row r="111" spans="2:41" ht="12.75">
      <c r="B111" s="77"/>
      <c r="C111" s="351" t="s">
        <v>105</v>
      </c>
      <c r="D111" s="726" t="s">
        <v>8</v>
      </c>
      <c r="E111" s="308"/>
      <c r="F111" s="309" t="s">
        <v>82</v>
      </c>
      <c r="G111" s="184"/>
      <c r="H111" s="78"/>
      <c r="I111" s="78"/>
      <c r="J111" s="78"/>
      <c r="K111" s="78"/>
      <c r="L111" s="78"/>
      <c r="M111" s="78"/>
      <c r="N111" s="78"/>
      <c r="O111" s="78"/>
      <c r="P111" s="78"/>
      <c r="Q111" s="78"/>
      <c r="AH111" s="161" t="s">
        <v>140</v>
      </c>
      <c r="AI111" s="687"/>
      <c r="AJ111" s="163"/>
      <c r="AK111" s="164"/>
      <c r="AL111" s="163"/>
      <c r="AM111" s="164"/>
      <c r="AN111" s="165"/>
      <c r="AO111" s="166"/>
    </row>
    <row r="112" spans="2:41" ht="13.5" thickBot="1">
      <c r="B112" s="77"/>
      <c r="C112" s="352"/>
      <c r="D112" s="727"/>
      <c r="E112" s="310"/>
      <c r="F112" s="311" t="s">
        <v>83</v>
      </c>
      <c r="G112" s="185"/>
      <c r="H112" s="78"/>
      <c r="I112" s="78"/>
      <c r="J112" s="78"/>
      <c r="K112" s="78"/>
      <c r="L112" s="78"/>
      <c r="M112" s="78"/>
      <c r="N112" s="78"/>
      <c r="O112" s="78"/>
      <c r="P112" s="78"/>
      <c r="Q112" s="78"/>
      <c r="AH112" s="679" t="s">
        <v>327</v>
      </c>
      <c r="AI112" s="688"/>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3" t="s">
        <v>69</v>
      </c>
      <c r="AI113" s="673"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5"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6"/>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7"/>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9" t="s">
        <v>328</v>
      </c>
      <c r="AI129" s="688"/>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B56:B57"/>
    <mergeCell ref="O64:O65"/>
    <mergeCell ref="D111:D112"/>
    <mergeCell ref="F6:I9"/>
    <mergeCell ref="B58:B59"/>
    <mergeCell ref="M61:N61"/>
    <mergeCell ref="C64:E64"/>
    <mergeCell ref="F64:G64"/>
    <mergeCell ref="H64:I64"/>
    <mergeCell ref="B49:C49"/>
    <mergeCell ref="B50:B51"/>
    <mergeCell ref="B52:B53"/>
    <mergeCell ref="B54:B55"/>
    <mergeCell ref="J11:O11"/>
    <mergeCell ref="C12:E12"/>
    <mergeCell ref="F12:G12"/>
    <mergeCell ref="N12:O12"/>
    <mergeCell ref="K64:L64"/>
    <mergeCell ref="D2:H2"/>
    <mergeCell ref="M47:N47"/>
    <mergeCell ref="M64:N64"/>
    <mergeCell ref="H12:I12"/>
    <mergeCell ref="J12:K12"/>
    <mergeCell ref="L12:M12"/>
    <mergeCell ref="AN2:AO2"/>
    <mergeCell ref="M4:O4"/>
    <mergeCell ref="M5:O5"/>
    <mergeCell ref="M8:O8"/>
    <mergeCell ref="M9:O9"/>
    <mergeCell ref="M6:O6"/>
    <mergeCell ref="M7:O7"/>
    <mergeCell ref="AJ2:AK2"/>
    <mergeCell ref="AL2:AM2"/>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6">
      <selection activeCell="H12" sqref="H12"/>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9"/>
      <c r="B1" s="690"/>
      <c r="C1" s="690"/>
      <c r="D1" s="690"/>
      <c r="E1" s="690"/>
      <c r="F1" s="691"/>
    </row>
    <row r="2" spans="1:6" ht="12.75">
      <c r="A2" s="692"/>
      <c r="B2" s="788" t="s">
        <v>211</v>
      </c>
      <c r="C2" s="788"/>
      <c r="D2" s="788"/>
      <c r="E2" s="788"/>
      <c r="F2" s="693"/>
    </row>
    <row r="3" spans="1:6" ht="13.5" thickBot="1">
      <c r="A3" s="692"/>
      <c r="B3" s="13"/>
      <c r="C3" s="13"/>
      <c r="D3" s="13"/>
      <c r="E3" s="13"/>
      <c r="F3" s="693"/>
    </row>
    <row r="4" spans="1:6" ht="12.75">
      <c r="A4" s="692"/>
      <c r="B4" s="8" t="s">
        <v>107</v>
      </c>
      <c r="C4" s="800" t="str">
        <f>IF('Biodiversity Impact Assessment'!I6&gt;0,'Biodiversity Impact Assessment'!I6,"")</f>
        <v>Land at Berry Hill, Adderbury</v>
      </c>
      <c r="D4" s="801"/>
      <c r="E4" s="802"/>
      <c r="F4" s="693"/>
    </row>
    <row r="5" spans="1:6" ht="13.5" thickBot="1">
      <c r="A5" s="692"/>
      <c r="B5" s="9" t="s">
        <v>201</v>
      </c>
      <c r="C5" s="797">
        <f>IF('Biodiversity Impact Assessment'!I7&gt;0,'Biodiversity Impact Assessment'!I7,"")</f>
      </c>
      <c r="D5" s="798"/>
      <c r="E5" s="799"/>
      <c r="F5" s="693"/>
    </row>
    <row r="6" spans="1:6" ht="13.5" thickBot="1">
      <c r="A6" s="692"/>
      <c r="B6" s="13"/>
      <c r="C6" s="13"/>
      <c r="D6" s="13"/>
      <c r="E6" s="13"/>
      <c r="F6" s="693"/>
    </row>
    <row r="7" spans="1:6" ht="39" customHeight="1" thickBot="1">
      <c r="A7" s="692"/>
      <c r="B7" s="51" t="s">
        <v>274</v>
      </c>
      <c r="C7" s="50"/>
      <c r="D7" s="45" t="s">
        <v>72</v>
      </c>
      <c r="E7" s="46" t="s">
        <v>196</v>
      </c>
      <c r="F7" s="693"/>
    </row>
    <row r="8" spans="1:6" ht="12.75">
      <c r="A8" s="692"/>
      <c r="B8" s="803" t="s">
        <v>278</v>
      </c>
      <c r="C8" s="804"/>
      <c r="D8" s="53">
        <f>'Biodiversity Impact Assessment'!$E$45</f>
        <v>4</v>
      </c>
      <c r="E8" s="54">
        <f>'Biodiversity Impact Assessment'!$O$47</f>
        <v>11.91</v>
      </c>
      <c r="F8" s="693"/>
    </row>
    <row r="9" spans="1:6" ht="26.25" customHeight="1">
      <c r="A9" s="692"/>
      <c r="B9" s="795" t="s">
        <v>284</v>
      </c>
      <c r="C9" s="796"/>
      <c r="D9" s="49">
        <f>'Biodiversity Impact Assessment'!$N$45+'Biodiversity Impact Assessment'!$E$60</f>
        <v>2.8400000000000003</v>
      </c>
      <c r="E9" s="10">
        <f>'Biodiversity Impact Assessment'!$O$61</f>
        <v>8.430000000000001</v>
      </c>
      <c r="F9" s="693"/>
    </row>
    <row r="10" spans="1:6" ht="26.25" customHeight="1" thickBot="1">
      <c r="A10" s="692"/>
      <c r="B10" s="793" t="s">
        <v>285</v>
      </c>
      <c r="C10" s="794"/>
      <c r="D10" s="55">
        <f>'Biodiversity Impact Assessment'!$E$82+'Biodiversity Impact Assessment'!$E$99</f>
        <v>4</v>
      </c>
      <c r="E10" s="56">
        <f>'Biodiversity Impact Assessment'!$O$100</f>
        <v>7.719999999999999</v>
      </c>
      <c r="F10" s="693"/>
    </row>
    <row r="11" spans="1:6" ht="26.25" customHeight="1">
      <c r="A11" s="692"/>
      <c r="B11" s="791" t="s">
        <v>333</v>
      </c>
      <c r="C11" s="792"/>
      <c r="D11" s="25"/>
      <c r="E11" s="52">
        <f>'Biodiversity Impact Assessment'!$O$102</f>
        <v>-0.7100000000000026</v>
      </c>
      <c r="F11" s="693"/>
    </row>
    <row r="12" spans="1:6" ht="12.75">
      <c r="A12" s="692"/>
      <c r="B12" s="806" t="s">
        <v>289</v>
      </c>
      <c r="C12" s="807"/>
      <c r="D12" s="25"/>
      <c r="E12" s="42">
        <f>'Biodiversity Impact Assessment'!$O$103</f>
        <v>8.422301304863613</v>
      </c>
      <c r="F12" s="693"/>
    </row>
    <row r="13" spans="1:6" ht="3.75" customHeight="1" thickBot="1">
      <c r="A13" s="692"/>
      <c r="B13" s="43"/>
      <c r="C13" s="44"/>
      <c r="D13" s="41"/>
      <c r="E13" s="44"/>
      <c r="F13" s="693"/>
    </row>
    <row r="14" spans="1:12" ht="39" customHeight="1" thickBot="1">
      <c r="A14" s="692"/>
      <c r="B14" s="51" t="s">
        <v>125</v>
      </c>
      <c r="C14" s="50"/>
      <c r="D14" s="45" t="s">
        <v>305</v>
      </c>
      <c r="E14" s="46" t="s">
        <v>239</v>
      </c>
      <c r="F14" s="693"/>
      <c r="L14" s="1"/>
    </row>
    <row r="15" spans="1:6" ht="12.75">
      <c r="A15" s="692"/>
      <c r="B15" s="803" t="s">
        <v>277</v>
      </c>
      <c r="C15" s="804"/>
      <c r="D15" s="53">
        <f>'Linear Impact Assessment'!$E$45</f>
        <v>4.1</v>
      </c>
      <c r="E15" s="54">
        <f>'Linear Impact Assessment'!$O$47</f>
        <v>41</v>
      </c>
      <c r="F15" s="693"/>
    </row>
    <row r="16" spans="1:6" ht="26.25" customHeight="1">
      <c r="A16" s="692"/>
      <c r="B16" s="795" t="s">
        <v>286</v>
      </c>
      <c r="C16" s="796"/>
      <c r="D16" s="49">
        <f>'Linear Impact Assessment'!$N$45+'Linear Impact Assessment'!$E$60</f>
        <v>0</v>
      </c>
      <c r="E16" s="10">
        <f>'Linear Impact Assessment'!$O$61</f>
        <v>0</v>
      </c>
      <c r="F16" s="694"/>
    </row>
    <row r="17" spans="1:6" ht="26.25" customHeight="1" thickBot="1">
      <c r="A17" s="692"/>
      <c r="B17" s="793" t="s">
        <v>287</v>
      </c>
      <c r="C17" s="794"/>
      <c r="D17" s="55">
        <f>'Linear Impact Assessment'!$E$82+'Linear Impact Assessment'!$E$99</f>
        <v>4.1</v>
      </c>
      <c r="E17" s="56">
        <f>'Linear Impact Assessment'!$O$100</f>
        <v>14.642857142857144</v>
      </c>
      <c r="F17" s="694"/>
    </row>
    <row r="18" spans="1:6" ht="26.25" customHeight="1">
      <c r="A18" s="692"/>
      <c r="B18" s="791" t="s">
        <v>334</v>
      </c>
      <c r="C18" s="792"/>
      <c r="D18" s="25"/>
      <c r="E18" s="52">
        <f>'Linear Impact Assessment'!$O$102</f>
        <v>14.642857142857144</v>
      </c>
      <c r="F18" s="693"/>
    </row>
    <row r="19" spans="1:6" ht="13.5" thickBot="1">
      <c r="A19" s="692"/>
      <c r="B19" s="789" t="s">
        <v>288</v>
      </c>
      <c r="C19" s="790"/>
      <c r="D19" s="41"/>
      <c r="E19" s="57">
        <f>'Linear Impact Assessment'!$O$103</f>
      </c>
      <c r="F19" s="693"/>
    </row>
    <row r="20" spans="1:6" ht="12.75">
      <c r="A20" s="692"/>
      <c r="B20" s="3"/>
      <c r="C20" s="3"/>
      <c r="D20" s="13"/>
      <c r="E20" s="15"/>
      <c r="F20" s="693"/>
    </row>
    <row r="21" spans="1:6" ht="38.25" customHeight="1">
      <c r="A21" s="692"/>
      <c r="B21" s="805">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c>
      <c r="C21" s="805"/>
      <c r="D21" s="805"/>
      <c r="E21" s="805"/>
      <c r="F21" s="693"/>
    </row>
    <row r="22" spans="1:6" ht="12.75">
      <c r="A22" s="692"/>
      <c r="B22" s="805">
        <f>IF(('Habitat trading down correction'!E42+'Linear trading down correction'!E42+'Linear trading down correction'!F42)&gt;0,"Any unavoidable loss of habitats of high distinctiveness must be replaced like-for-like.","")</f>
      </c>
      <c r="C22" s="805"/>
      <c r="D22" s="805"/>
      <c r="E22" s="805"/>
      <c r="F22" s="693"/>
    </row>
    <row r="23" spans="1:6" ht="12.75">
      <c r="A23" s="692"/>
      <c r="B23" s="3"/>
      <c r="C23" s="3"/>
      <c r="D23" s="13"/>
      <c r="E23" s="48"/>
      <c r="F23" s="693"/>
    </row>
    <row r="24" spans="1:6" ht="39" customHeight="1">
      <c r="A24" s="692"/>
      <c r="B24" s="787" t="s">
        <v>212</v>
      </c>
      <c r="C24" s="787"/>
      <c r="D24" s="787"/>
      <c r="E24" s="787"/>
      <c r="F24" s="693"/>
    </row>
    <row r="25" spans="1:6" ht="12.75">
      <c r="A25" s="692"/>
      <c r="B25" s="3" t="s">
        <v>202</v>
      </c>
      <c r="C25" s="3"/>
      <c r="D25" s="13"/>
      <c r="E25" s="13"/>
      <c r="F25" s="693"/>
    </row>
    <row r="26" spans="1:6" ht="12.75">
      <c r="A26" s="692"/>
      <c r="B26" s="3" t="s">
        <v>203</v>
      </c>
      <c r="C26" s="3"/>
      <c r="D26" s="13"/>
      <c r="E26" s="13"/>
      <c r="F26" s="693"/>
    </row>
    <row r="27" spans="1:6" ht="12.75">
      <c r="A27" s="692"/>
      <c r="B27" s="13"/>
      <c r="C27" s="13"/>
      <c r="D27" s="13"/>
      <c r="E27" s="13"/>
      <c r="F27" s="693"/>
    </row>
    <row r="28" spans="1:6" ht="52.5" customHeight="1">
      <c r="A28" s="692"/>
      <c r="B28" s="787" t="s">
        <v>206</v>
      </c>
      <c r="C28" s="787"/>
      <c r="D28" s="787"/>
      <c r="E28" s="787"/>
      <c r="F28" s="693"/>
    </row>
    <row r="29" spans="1:6" ht="25.5" customHeight="1">
      <c r="A29" s="692"/>
      <c r="B29" s="787" t="s">
        <v>207</v>
      </c>
      <c r="C29" s="787"/>
      <c r="D29" s="787"/>
      <c r="E29" s="787"/>
      <c r="F29" s="693"/>
    </row>
    <row r="30" spans="1:6" ht="12.75" customHeight="1">
      <c r="A30" s="692"/>
      <c r="B30" s="662"/>
      <c r="C30" s="662"/>
      <c r="D30" s="662"/>
      <c r="E30" s="662"/>
      <c r="F30" s="693"/>
    </row>
    <row r="31" spans="1:6" ht="12.75">
      <c r="A31" s="692"/>
      <c r="B31" s="3" t="s">
        <v>204</v>
      </c>
      <c r="C31" s="3"/>
      <c r="D31" s="13"/>
      <c r="E31" s="13"/>
      <c r="F31" s="693"/>
    </row>
    <row r="32" spans="1:6" ht="12.75">
      <c r="A32" s="692"/>
      <c r="B32" s="3" t="s">
        <v>205</v>
      </c>
      <c r="C32" s="3"/>
      <c r="D32" s="13"/>
      <c r="E32" s="13"/>
      <c r="F32" s="693"/>
    </row>
    <row r="33" spans="1:6" ht="12.75">
      <c r="A33" s="692"/>
      <c r="B33" s="13"/>
      <c r="C33" s="13"/>
      <c r="D33" s="13"/>
      <c r="E33" s="13"/>
      <c r="F33" s="693"/>
    </row>
    <row r="34" spans="1:6" ht="12.75">
      <c r="A34" s="692"/>
      <c r="B34" s="13"/>
      <c r="C34" s="13"/>
      <c r="D34" s="13"/>
      <c r="E34" s="13"/>
      <c r="F34" s="693"/>
    </row>
    <row r="35" spans="1:6" ht="12.75">
      <c r="A35" s="692"/>
      <c r="B35" s="13"/>
      <c r="C35" s="13"/>
      <c r="D35" s="13"/>
      <c r="E35" s="13"/>
      <c r="F35" s="693"/>
    </row>
    <row r="36" spans="1:6" ht="12.75">
      <c r="A36" s="692"/>
      <c r="B36" s="13"/>
      <c r="C36" s="13"/>
      <c r="D36" s="13"/>
      <c r="E36" s="13"/>
      <c r="F36" s="693"/>
    </row>
    <row r="37" spans="1:6" ht="12.75">
      <c r="A37" s="692"/>
      <c r="B37" s="13"/>
      <c r="C37" s="13"/>
      <c r="D37" s="13"/>
      <c r="E37" s="13"/>
      <c r="F37" s="693"/>
    </row>
    <row r="38" spans="1:6" ht="12.75">
      <c r="A38" s="692"/>
      <c r="B38" s="13"/>
      <c r="C38" s="13"/>
      <c r="D38" s="13"/>
      <c r="E38" s="13"/>
      <c r="F38" s="693"/>
    </row>
    <row r="39" spans="1:6" ht="12.75">
      <c r="A39" s="692"/>
      <c r="B39" s="13"/>
      <c r="C39" s="13"/>
      <c r="D39" s="13"/>
      <c r="E39" s="13"/>
      <c r="F39" s="693"/>
    </row>
    <row r="40" spans="1:6" ht="13.5" thickBot="1">
      <c r="A40" s="695"/>
      <c r="B40" s="696"/>
      <c r="C40" s="696"/>
      <c r="D40" s="696"/>
      <c r="E40" s="696"/>
      <c r="F40" s="697"/>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9:C9"/>
    <mergeCell ref="B8:C8"/>
    <mergeCell ref="B21:E21"/>
    <mergeCell ref="B22:E22"/>
    <mergeCell ref="B15:C15"/>
    <mergeCell ref="B12:C12"/>
    <mergeCell ref="B11:C11"/>
    <mergeCell ref="B10:C10"/>
    <mergeCell ref="B24:E24"/>
    <mergeCell ref="B28:E28"/>
    <mergeCell ref="B29:E29"/>
    <mergeCell ref="B2:E2"/>
    <mergeCell ref="B19:C19"/>
    <mergeCell ref="B18:C18"/>
    <mergeCell ref="B17:C17"/>
    <mergeCell ref="B16:C16"/>
    <mergeCell ref="C5:E5"/>
    <mergeCell ref="C4:E4"/>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3" t="s">
        <v>79</v>
      </c>
      <c r="B2" s="664" t="s">
        <v>12</v>
      </c>
      <c r="C2" s="756" t="s">
        <v>0</v>
      </c>
      <c r="D2" s="757"/>
      <c r="E2" s="764" t="s">
        <v>115</v>
      </c>
      <c r="F2" s="765"/>
      <c r="G2" s="765" t="s">
        <v>75</v>
      </c>
      <c r="H2" s="766"/>
      <c r="I2" s="84"/>
      <c r="J2" s="84"/>
      <c r="K2" s="84"/>
    </row>
    <row r="3" spans="1:11" ht="13.5" customHeight="1" thickBot="1">
      <c r="A3" s="87" t="s">
        <v>171</v>
      </c>
      <c r="B3" s="674" t="s">
        <v>112</v>
      </c>
      <c r="C3" s="88" t="s">
        <v>114</v>
      </c>
      <c r="D3" s="89">
        <v>0</v>
      </c>
      <c r="E3" s="88" t="s">
        <v>54</v>
      </c>
      <c r="F3" s="89">
        <v>1</v>
      </c>
      <c r="G3" s="677" t="s">
        <v>54</v>
      </c>
      <c r="H3" s="90">
        <v>1</v>
      </c>
      <c r="I3" s="84"/>
      <c r="J3" s="84"/>
      <c r="K3" s="84"/>
    </row>
    <row r="4" spans="1:11" ht="13.5" thickBot="1">
      <c r="A4" s="96" t="s">
        <v>172</v>
      </c>
      <c r="B4" s="134" t="s">
        <v>112</v>
      </c>
      <c r="C4" s="97" t="s">
        <v>54</v>
      </c>
      <c r="D4" s="98">
        <v>1</v>
      </c>
      <c r="E4" s="97" t="s">
        <v>54</v>
      </c>
      <c r="F4" s="98">
        <v>1</v>
      </c>
      <c r="G4" s="678" t="s">
        <v>54</v>
      </c>
      <c r="H4" s="99">
        <v>1</v>
      </c>
      <c r="I4" s="84"/>
      <c r="J4" s="91" t="s">
        <v>0</v>
      </c>
      <c r="K4" s="92"/>
    </row>
    <row r="5" spans="1:11" ht="12.75">
      <c r="A5" s="96" t="s">
        <v>126</v>
      </c>
      <c r="B5" s="134" t="s">
        <v>13</v>
      </c>
      <c r="C5" s="97" t="s">
        <v>52</v>
      </c>
      <c r="D5" s="98">
        <v>6</v>
      </c>
      <c r="E5" s="97" t="s">
        <v>112</v>
      </c>
      <c r="F5" s="98" t="s">
        <v>110</v>
      </c>
      <c r="G5" s="678" t="s">
        <v>54</v>
      </c>
      <c r="H5" s="99">
        <v>1</v>
      </c>
      <c r="I5" s="84"/>
      <c r="J5" s="94" t="s">
        <v>52</v>
      </c>
      <c r="K5" s="95">
        <v>6</v>
      </c>
    </row>
    <row r="6" spans="1:11" ht="12.75">
      <c r="A6" s="96" t="s">
        <v>127</v>
      </c>
      <c r="B6" s="134" t="s">
        <v>14</v>
      </c>
      <c r="C6" s="97" t="s">
        <v>76</v>
      </c>
      <c r="D6" s="98">
        <v>4</v>
      </c>
      <c r="E6" s="97" t="s">
        <v>76</v>
      </c>
      <c r="F6" s="98">
        <v>1.5</v>
      </c>
      <c r="G6" s="678" t="s">
        <v>54</v>
      </c>
      <c r="H6" s="99">
        <v>1</v>
      </c>
      <c r="I6" s="84"/>
      <c r="J6" s="100" t="s">
        <v>307</v>
      </c>
      <c r="K6" s="101">
        <v>5</v>
      </c>
    </row>
    <row r="7" spans="1:11" ht="12.75">
      <c r="A7" s="96" t="s">
        <v>128</v>
      </c>
      <c r="B7" s="134" t="s">
        <v>15</v>
      </c>
      <c r="C7" s="97" t="s">
        <v>76</v>
      </c>
      <c r="D7" s="98">
        <v>4</v>
      </c>
      <c r="E7" s="97" t="s">
        <v>112</v>
      </c>
      <c r="F7" s="98" t="s">
        <v>110</v>
      </c>
      <c r="G7" s="678" t="s">
        <v>54</v>
      </c>
      <c r="H7" s="99">
        <v>1</v>
      </c>
      <c r="I7" s="84"/>
      <c r="J7" s="100" t="s">
        <v>76</v>
      </c>
      <c r="K7" s="101">
        <v>4</v>
      </c>
    </row>
    <row r="8" spans="1:11" ht="12.75">
      <c r="A8" s="96" t="s">
        <v>129</v>
      </c>
      <c r="B8" s="134" t="s">
        <v>16</v>
      </c>
      <c r="C8" s="97" t="s">
        <v>54</v>
      </c>
      <c r="D8" s="98">
        <v>2</v>
      </c>
      <c r="E8" s="97" t="s">
        <v>76</v>
      </c>
      <c r="F8" s="98">
        <v>1.5</v>
      </c>
      <c r="G8" s="678" t="s">
        <v>54</v>
      </c>
      <c r="H8" s="99">
        <v>1</v>
      </c>
      <c r="I8" s="84"/>
      <c r="J8" s="614" t="s">
        <v>306</v>
      </c>
      <c r="K8" s="615">
        <v>3</v>
      </c>
    </row>
    <row r="9" spans="1:11" ht="12.75">
      <c r="A9" s="96" t="s">
        <v>130</v>
      </c>
      <c r="B9" s="134" t="s">
        <v>17</v>
      </c>
      <c r="C9" s="97" t="s">
        <v>76</v>
      </c>
      <c r="D9" s="98">
        <v>4</v>
      </c>
      <c r="E9" s="97" t="s">
        <v>112</v>
      </c>
      <c r="F9" s="98" t="s">
        <v>110</v>
      </c>
      <c r="G9" s="678" t="s">
        <v>54</v>
      </c>
      <c r="H9" s="99">
        <v>1</v>
      </c>
      <c r="I9" s="84"/>
      <c r="J9" s="100" t="s">
        <v>54</v>
      </c>
      <c r="K9" s="101">
        <v>2</v>
      </c>
    </row>
    <row r="10" spans="1:11" ht="13.5" thickBot="1">
      <c r="A10" s="96" t="s">
        <v>131</v>
      </c>
      <c r="B10" s="134" t="s">
        <v>18</v>
      </c>
      <c r="C10" s="97" t="s">
        <v>54</v>
      </c>
      <c r="D10" s="98">
        <v>2</v>
      </c>
      <c r="E10" s="97" t="s">
        <v>76</v>
      </c>
      <c r="F10" s="98">
        <v>1.5</v>
      </c>
      <c r="G10" s="678"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8" t="s">
        <v>54</v>
      </c>
      <c r="H12" s="99">
        <v>1</v>
      </c>
      <c r="I12" s="84"/>
      <c r="J12" s="108" t="s">
        <v>1</v>
      </c>
      <c r="K12" s="109"/>
    </row>
    <row r="13" spans="1:11" ht="12.75">
      <c r="A13" s="96" t="s">
        <v>149</v>
      </c>
      <c r="B13" s="134" t="s">
        <v>20</v>
      </c>
      <c r="C13" s="97" t="s">
        <v>76</v>
      </c>
      <c r="D13" s="98">
        <v>4</v>
      </c>
      <c r="E13" s="97" t="s">
        <v>54</v>
      </c>
      <c r="F13" s="98">
        <v>1</v>
      </c>
      <c r="G13" s="678" t="s">
        <v>54</v>
      </c>
      <c r="H13" s="99">
        <v>1</v>
      </c>
      <c r="I13" s="84"/>
      <c r="J13" s="111" t="s">
        <v>70</v>
      </c>
      <c r="K13" s="112">
        <v>3</v>
      </c>
    </row>
    <row r="14" spans="1:11" ht="12.75">
      <c r="A14" s="96" t="s">
        <v>335</v>
      </c>
      <c r="B14" s="134" t="s">
        <v>59</v>
      </c>
      <c r="C14" s="97" t="s">
        <v>76</v>
      </c>
      <c r="D14" s="98">
        <v>4</v>
      </c>
      <c r="E14" s="97" t="s">
        <v>54</v>
      </c>
      <c r="F14" s="98">
        <v>1</v>
      </c>
      <c r="G14" s="678" t="s">
        <v>54</v>
      </c>
      <c r="H14" s="99">
        <v>1</v>
      </c>
      <c r="I14" s="84"/>
      <c r="J14" s="100" t="s">
        <v>53</v>
      </c>
      <c r="K14" s="101">
        <v>2</v>
      </c>
    </row>
    <row r="15" spans="1:11" ht="13.5" thickBot="1">
      <c r="A15" s="96" t="s">
        <v>336</v>
      </c>
      <c r="B15" s="134" t="s">
        <v>21</v>
      </c>
      <c r="C15" s="97" t="s">
        <v>52</v>
      </c>
      <c r="D15" s="98">
        <v>6</v>
      </c>
      <c r="E15" s="97" t="s">
        <v>76</v>
      </c>
      <c r="F15" s="98">
        <v>1.5</v>
      </c>
      <c r="G15" s="678" t="s">
        <v>54</v>
      </c>
      <c r="H15" s="99">
        <v>1</v>
      </c>
      <c r="I15" s="84"/>
      <c r="J15" s="103" t="s">
        <v>71</v>
      </c>
      <c r="K15" s="104">
        <v>1</v>
      </c>
    </row>
    <row r="16" spans="1:11" ht="13.5" thickBot="1">
      <c r="A16" s="96" t="s">
        <v>337</v>
      </c>
      <c r="B16" s="134" t="s">
        <v>22</v>
      </c>
      <c r="C16" s="97" t="s">
        <v>76</v>
      </c>
      <c r="D16" s="98">
        <v>4</v>
      </c>
      <c r="E16" s="97" t="s">
        <v>76</v>
      </c>
      <c r="F16" s="98">
        <v>1.5</v>
      </c>
      <c r="G16" s="678"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8" t="s">
        <v>54</v>
      </c>
      <c r="H18" s="99">
        <v>1</v>
      </c>
      <c r="I18" s="84"/>
      <c r="J18" s="111" t="s">
        <v>86</v>
      </c>
      <c r="K18" s="112">
        <v>1.2</v>
      </c>
    </row>
    <row r="19" spans="1:11" ht="12.75">
      <c r="A19" s="96" t="s">
        <v>152</v>
      </c>
      <c r="B19" s="134" t="s">
        <v>25</v>
      </c>
      <c r="C19" s="97" t="s">
        <v>52</v>
      </c>
      <c r="D19" s="98">
        <v>6</v>
      </c>
      <c r="E19" s="97" t="s">
        <v>76</v>
      </c>
      <c r="F19" s="98">
        <v>1.5</v>
      </c>
      <c r="G19" s="678" t="s">
        <v>54</v>
      </c>
      <c r="H19" s="99">
        <v>1</v>
      </c>
      <c r="I19" s="84"/>
      <c r="J19" s="100" t="s">
        <v>87</v>
      </c>
      <c r="K19" s="101">
        <v>1.4</v>
      </c>
    </row>
    <row r="20" spans="1:11" ht="12.75">
      <c r="A20" s="96" t="s">
        <v>153</v>
      </c>
      <c r="B20" s="134" t="s">
        <v>26</v>
      </c>
      <c r="C20" s="97" t="s">
        <v>307</v>
      </c>
      <c r="D20" s="98">
        <v>5</v>
      </c>
      <c r="E20" s="97" t="s">
        <v>76</v>
      </c>
      <c r="F20" s="98">
        <v>1.5</v>
      </c>
      <c r="G20" s="678" t="s">
        <v>54</v>
      </c>
      <c r="H20" s="99">
        <v>1</v>
      </c>
      <c r="I20" s="84"/>
      <c r="J20" s="100" t="s">
        <v>88</v>
      </c>
      <c r="K20" s="101">
        <v>1.7</v>
      </c>
    </row>
    <row r="21" spans="1:11" ht="12.75">
      <c r="A21" s="96" t="s">
        <v>154</v>
      </c>
      <c r="B21" s="134" t="s">
        <v>27</v>
      </c>
      <c r="C21" s="97" t="s">
        <v>52</v>
      </c>
      <c r="D21" s="98">
        <v>6</v>
      </c>
      <c r="E21" s="97" t="s">
        <v>76</v>
      </c>
      <c r="F21" s="98">
        <v>1.5</v>
      </c>
      <c r="G21" s="678" t="s">
        <v>54</v>
      </c>
      <c r="H21" s="99">
        <v>1</v>
      </c>
      <c r="I21" s="84"/>
      <c r="J21" s="100" t="s">
        <v>89</v>
      </c>
      <c r="K21" s="101">
        <v>2</v>
      </c>
    </row>
    <row r="22" spans="1:11" ht="12.75">
      <c r="A22" s="96" t="s">
        <v>155</v>
      </c>
      <c r="B22" s="134" t="s">
        <v>28</v>
      </c>
      <c r="C22" s="97" t="s">
        <v>76</v>
      </c>
      <c r="D22" s="98">
        <v>4</v>
      </c>
      <c r="E22" s="97" t="s">
        <v>76</v>
      </c>
      <c r="F22" s="98">
        <v>1.5</v>
      </c>
      <c r="G22" s="678" t="s">
        <v>54</v>
      </c>
      <c r="H22" s="99">
        <v>1</v>
      </c>
      <c r="I22" s="84"/>
      <c r="J22" s="100" t="s">
        <v>90</v>
      </c>
      <c r="K22" s="101">
        <v>2.4</v>
      </c>
    </row>
    <row r="23" spans="1:11" ht="12.75">
      <c r="A23" s="96" t="s">
        <v>156</v>
      </c>
      <c r="B23" s="134" t="s">
        <v>29</v>
      </c>
      <c r="C23" s="97" t="s">
        <v>52</v>
      </c>
      <c r="D23" s="98">
        <v>6</v>
      </c>
      <c r="E23" s="97" t="s">
        <v>76</v>
      </c>
      <c r="F23" s="98">
        <v>1.5</v>
      </c>
      <c r="G23" s="678" t="s">
        <v>54</v>
      </c>
      <c r="H23" s="99">
        <v>1</v>
      </c>
      <c r="I23" s="84"/>
      <c r="J23" s="100" t="s">
        <v>91</v>
      </c>
      <c r="K23" s="101">
        <v>2.8</v>
      </c>
    </row>
    <row r="24" spans="1:11" ht="13.5" thickBot="1">
      <c r="A24" s="96" t="s">
        <v>157</v>
      </c>
      <c r="B24" s="134" t="s">
        <v>30</v>
      </c>
      <c r="C24" s="97" t="s">
        <v>307</v>
      </c>
      <c r="D24" s="98">
        <v>5</v>
      </c>
      <c r="E24" s="97" t="s">
        <v>76</v>
      </c>
      <c r="F24" s="98">
        <v>1.5</v>
      </c>
      <c r="G24" s="678" t="s">
        <v>54</v>
      </c>
      <c r="H24" s="99">
        <v>1</v>
      </c>
      <c r="I24" s="84"/>
      <c r="J24" s="103" t="s">
        <v>92</v>
      </c>
      <c r="K24" s="104">
        <v>3</v>
      </c>
    </row>
    <row r="25" spans="1:11" ht="13.5" thickBot="1">
      <c r="A25" s="96" t="s">
        <v>158</v>
      </c>
      <c r="B25" s="134" t="s">
        <v>33</v>
      </c>
      <c r="C25" s="97" t="s">
        <v>306</v>
      </c>
      <c r="D25" s="98">
        <v>3</v>
      </c>
      <c r="E25" s="97" t="s">
        <v>76</v>
      </c>
      <c r="F25" s="98">
        <v>1.5</v>
      </c>
      <c r="G25" s="678" t="s">
        <v>54</v>
      </c>
      <c r="H25" s="99">
        <v>1</v>
      </c>
      <c r="I25" s="84"/>
      <c r="J25" s="84"/>
      <c r="K25" s="84"/>
    </row>
    <row r="26" spans="1:11" ht="13.5" thickBot="1">
      <c r="A26" s="96" t="s">
        <v>159</v>
      </c>
      <c r="B26" s="134" t="s">
        <v>31</v>
      </c>
      <c r="C26" s="97" t="s">
        <v>54</v>
      </c>
      <c r="D26" s="98">
        <v>2</v>
      </c>
      <c r="E26" s="97" t="s">
        <v>112</v>
      </c>
      <c r="F26" s="98" t="s">
        <v>110</v>
      </c>
      <c r="G26" s="678" t="s">
        <v>54</v>
      </c>
      <c r="H26" s="99">
        <v>1</v>
      </c>
      <c r="I26" s="84"/>
      <c r="J26" s="108" t="s">
        <v>78</v>
      </c>
      <c r="K26" s="109"/>
    </row>
    <row r="27" spans="1:11" ht="12.75">
      <c r="A27" s="96" t="s">
        <v>162</v>
      </c>
      <c r="B27" s="134" t="s">
        <v>32</v>
      </c>
      <c r="C27" s="97" t="s">
        <v>52</v>
      </c>
      <c r="D27" s="98">
        <v>6</v>
      </c>
      <c r="E27" s="97" t="s">
        <v>52</v>
      </c>
      <c r="F27" s="98">
        <v>3</v>
      </c>
      <c r="G27" s="678" t="s">
        <v>76</v>
      </c>
      <c r="H27" s="99">
        <v>1.5</v>
      </c>
      <c r="I27" s="84"/>
      <c r="J27" s="111" t="s">
        <v>255</v>
      </c>
      <c r="K27" s="112">
        <v>10</v>
      </c>
    </row>
    <row r="28" spans="1:11" ht="12.75">
      <c r="A28" s="96" t="s">
        <v>210</v>
      </c>
      <c r="B28" s="134" t="s">
        <v>37</v>
      </c>
      <c r="C28" s="97" t="s">
        <v>52</v>
      </c>
      <c r="D28" s="98">
        <v>6</v>
      </c>
      <c r="E28" s="97" t="s">
        <v>76</v>
      </c>
      <c r="F28" s="98">
        <v>1.5</v>
      </c>
      <c r="G28" s="678"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8" t="s">
        <v>76</v>
      </c>
      <c r="H31" s="99">
        <v>1.5</v>
      </c>
      <c r="I31" s="84"/>
      <c r="J31" s="103" t="s">
        <v>112</v>
      </c>
      <c r="K31" s="104">
        <v>0</v>
      </c>
    </row>
    <row r="32" spans="1:9" ht="12.75">
      <c r="A32" s="96" t="s">
        <v>169</v>
      </c>
      <c r="B32" s="134" t="s">
        <v>44</v>
      </c>
      <c r="C32" s="97" t="s">
        <v>52</v>
      </c>
      <c r="D32" s="98">
        <v>6</v>
      </c>
      <c r="E32" s="97" t="s">
        <v>76</v>
      </c>
      <c r="F32" s="98">
        <v>1.5</v>
      </c>
      <c r="G32" s="678"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8" t="s">
        <v>52</v>
      </c>
      <c r="H34" s="99">
        <v>3</v>
      </c>
      <c r="I34" s="84"/>
    </row>
    <row r="35" spans="1:9" ht="12.75">
      <c r="A35" s="96" t="s">
        <v>164</v>
      </c>
      <c r="B35" s="134" t="s">
        <v>39</v>
      </c>
      <c r="C35" s="97" t="s">
        <v>52</v>
      </c>
      <c r="D35" s="98">
        <v>6</v>
      </c>
      <c r="E35" s="97" t="s">
        <v>52</v>
      </c>
      <c r="F35" s="98">
        <v>3</v>
      </c>
      <c r="G35" s="678" t="s">
        <v>76</v>
      </c>
      <c r="H35" s="99">
        <v>1.5</v>
      </c>
      <c r="I35" s="84"/>
    </row>
    <row r="36" spans="1:9" ht="12.75">
      <c r="A36" s="96" t="s">
        <v>165</v>
      </c>
      <c r="B36" s="134" t="s">
        <v>40</v>
      </c>
      <c r="C36" s="97" t="s">
        <v>52</v>
      </c>
      <c r="D36" s="98">
        <v>6</v>
      </c>
      <c r="E36" s="97" t="s">
        <v>52</v>
      </c>
      <c r="F36" s="98">
        <v>3</v>
      </c>
      <c r="G36" s="678" t="s">
        <v>76</v>
      </c>
      <c r="H36" s="99">
        <v>1.5</v>
      </c>
      <c r="I36" s="84"/>
    </row>
    <row r="37" spans="1:9" ht="12.75">
      <c r="A37" s="96" t="s">
        <v>166</v>
      </c>
      <c r="B37" s="134" t="s">
        <v>41</v>
      </c>
      <c r="C37" s="97" t="s">
        <v>52</v>
      </c>
      <c r="D37" s="98">
        <v>6</v>
      </c>
      <c r="E37" s="97" t="s">
        <v>52</v>
      </c>
      <c r="F37" s="98">
        <v>3</v>
      </c>
      <c r="G37" s="678" t="s">
        <v>76</v>
      </c>
      <c r="H37" s="99">
        <v>1.5</v>
      </c>
      <c r="I37" s="84"/>
    </row>
    <row r="38" spans="1:11" ht="12.75">
      <c r="A38" s="96" t="s">
        <v>167</v>
      </c>
      <c r="B38" s="134" t="s">
        <v>42</v>
      </c>
      <c r="C38" s="97" t="s">
        <v>52</v>
      </c>
      <c r="D38" s="98">
        <v>6</v>
      </c>
      <c r="E38" s="97" t="s">
        <v>54</v>
      </c>
      <c r="F38" s="98">
        <v>1</v>
      </c>
      <c r="G38" s="678"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8" t="s">
        <v>54</v>
      </c>
      <c r="H40" s="99">
        <v>1</v>
      </c>
      <c r="I40" s="84"/>
      <c r="J40" s="84"/>
      <c r="K40" s="84"/>
    </row>
    <row r="41" spans="1:11" ht="12.75">
      <c r="A41" s="96" t="s">
        <v>189</v>
      </c>
      <c r="B41" s="134" t="s">
        <v>35</v>
      </c>
      <c r="C41" s="97" t="s">
        <v>306</v>
      </c>
      <c r="D41" s="98">
        <v>3</v>
      </c>
      <c r="E41" s="97" t="s">
        <v>54</v>
      </c>
      <c r="F41" s="98">
        <v>1</v>
      </c>
      <c r="G41" s="678" t="s">
        <v>54</v>
      </c>
      <c r="H41" s="99">
        <v>1</v>
      </c>
      <c r="I41" s="84"/>
      <c r="J41" s="84"/>
      <c r="K41" s="84"/>
    </row>
    <row r="42" spans="1:11" ht="12.75">
      <c r="A42" s="96" t="s">
        <v>190</v>
      </c>
      <c r="B42" s="134" t="s">
        <v>36</v>
      </c>
      <c r="C42" s="97" t="s">
        <v>76</v>
      </c>
      <c r="D42" s="98">
        <v>4</v>
      </c>
      <c r="E42" s="97" t="s">
        <v>54</v>
      </c>
      <c r="F42" s="98">
        <v>1</v>
      </c>
      <c r="G42" s="678"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8" t="s">
        <v>54</v>
      </c>
      <c r="H44" s="99">
        <v>1</v>
      </c>
      <c r="I44" s="84"/>
      <c r="J44" s="84"/>
      <c r="K44" s="84"/>
    </row>
    <row r="45" spans="1:11" ht="12.75">
      <c r="A45" s="96" t="s">
        <v>330</v>
      </c>
      <c r="B45" s="134" t="s">
        <v>45</v>
      </c>
      <c r="C45" s="97" t="s">
        <v>54</v>
      </c>
      <c r="D45" s="98">
        <v>2</v>
      </c>
      <c r="E45" s="97" t="s">
        <v>54</v>
      </c>
      <c r="F45" s="98">
        <v>1</v>
      </c>
      <c r="G45" s="678"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8"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5" t="s">
        <v>327</v>
      </c>
      <c r="B50" s="676" t="s">
        <v>112</v>
      </c>
      <c r="C50" s="680" t="s">
        <v>54</v>
      </c>
      <c r="D50" s="151">
        <v>2</v>
      </c>
      <c r="E50" s="680" t="s">
        <v>54</v>
      </c>
      <c r="F50" s="151">
        <v>1</v>
      </c>
      <c r="G50" s="680" t="s">
        <v>54</v>
      </c>
      <c r="H50" s="151">
        <v>1</v>
      </c>
      <c r="I50" s="84"/>
      <c r="J50" s="84"/>
      <c r="K50" s="84"/>
    </row>
    <row r="51" spans="1:11" ht="13.5" thickBot="1">
      <c r="A51" s="665" t="s">
        <v>125</v>
      </c>
      <c r="B51" s="666"/>
      <c r="C51" s="667"/>
      <c r="D51" s="668"/>
      <c r="E51" s="669"/>
      <c r="F51" s="670"/>
      <c r="G51" s="671"/>
      <c r="H51" s="672"/>
      <c r="I51" s="84"/>
      <c r="J51" s="84"/>
      <c r="K51" s="84"/>
    </row>
    <row r="52" spans="1:11" ht="12.75">
      <c r="A52" s="87" t="s">
        <v>185</v>
      </c>
      <c r="B52" s="674" t="s">
        <v>62</v>
      </c>
      <c r="C52" s="88" t="s">
        <v>76</v>
      </c>
      <c r="D52" s="89">
        <v>4</v>
      </c>
      <c r="E52" s="88" t="s">
        <v>54</v>
      </c>
      <c r="F52" s="89">
        <v>1</v>
      </c>
      <c r="G52" s="677" t="s">
        <v>54</v>
      </c>
      <c r="H52" s="90">
        <v>1</v>
      </c>
      <c r="I52" s="84"/>
      <c r="J52" s="84"/>
      <c r="K52" s="84"/>
    </row>
    <row r="53" spans="1:11" ht="12.75">
      <c r="A53" s="96" t="s">
        <v>184</v>
      </c>
      <c r="B53" s="134" t="s">
        <v>63</v>
      </c>
      <c r="C53" s="97" t="s">
        <v>52</v>
      </c>
      <c r="D53" s="98">
        <v>6</v>
      </c>
      <c r="E53" s="97" t="s">
        <v>54</v>
      </c>
      <c r="F53" s="98">
        <v>1</v>
      </c>
      <c r="G53" s="678" t="s">
        <v>54</v>
      </c>
      <c r="H53" s="99">
        <v>1</v>
      </c>
      <c r="I53" s="84"/>
      <c r="J53" s="84"/>
      <c r="K53" s="84"/>
    </row>
    <row r="54" spans="1:11" ht="12.75">
      <c r="A54" s="96" t="s">
        <v>182</v>
      </c>
      <c r="B54" s="134" t="s">
        <v>65</v>
      </c>
      <c r="C54" s="97" t="s">
        <v>307</v>
      </c>
      <c r="D54" s="98">
        <v>5</v>
      </c>
      <c r="E54" s="97" t="s">
        <v>54</v>
      </c>
      <c r="F54" s="98">
        <v>1</v>
      </c>
      <c r="G54" s="678" t="s">
        <v>54</v>
      </c>
      <c r="H54" s="99">
        <v>1</v>
      </c>
      <c r="I54" s="84"/>
      <c r="J54" s="84"/>
      <c r="K54" s="84"/>
    </row>
    <row r="55" spans="1:11" ht="12.75">
      <c r="A55" s="96" t="s">
        <v>181</v>
      </c>
      <c r="B55" s="134" t="s">
        <v>58</v>
      </c>
      <c r="C55" s="97" t="s">
        <v>52</v>
      </c>
      <c r="D55" s="98">
        <v>6</v>
      </c>
      <c r="E55" s="97" t="s">
        <v>54</v>
      </c>
      <c r="F55" s="98">
        <v>1</v>
      </c>
      <c r="G55" s="678"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8" t="s">
        <v>54</v>
      </c>
      <c r="H57" s="99">
        <v>1</v>
      </c>
      <c r="I57" s="84"/>
      <c r="J57" s="84"/>
      <c r="K57" s="84"/>
    </row>
    <row r="58" spans="1:11" ht="12.75">
      <c r="A58" s="96" t="s">
        <v>186</v>
      </c>
      <c r="B58" s="134" t="s">
        <v>59</v>
      </c>
      <c r="C58" s="97" t="s">
        <v>76</v>
      </c>
      <c r="D58" s="98">
        <v>4</v>
      </c>
      <c r="E58" s="97" t="s">
        <v>54</v>
      </c>
      <c r="F58" s="98">
        <v>1</v>
      </c>
      <c r="G58" s="678" t="s">
        <v>54</v>
      </c>
      <c r="H58" s="99">
        <v>1</v>
      </c>
      <c r="I58" s="84"/>
      <c r="J58" s="84"/>
      <c r="K58" s="84"/>
    </row>
    <row r="59" spans="1:11" ht="12.75">
      <c r="A59" s="96" t="s">
        <v>292</v>
      </c>
      <c r="B59" s="134" t="s">
        <v>56</v>
      </c>
      <c r="C59" s="97" t="s">
        <v>54</v>
      </c>
      <c r="D59" s="98">
        <v>2</v>
      </c>
      <c r="E59" s="97" t="s">
        <v>54</v>
      </c>
      <c r="F59" s="98">
        <v>1</v>
      </c>
      <c r="G59" s="678" t="s">
        <v>54</v>
      </c>
      <c r="H59" s="99">
        <v>1</v>
      </c>
      <c r="I59" s="84"/>
      <c r="J59" s="84"/>
      <c r="K59" s="84"/>
    </row>
    <row r="60" spans="1:11" ht="12.75">
      <c r="A60" s="96" t="s">
        <v>180</v>
      </c>
      <c r="B60" s="134" t="s">
        <v>43</v>
      </c>
      <c r="C60" s="97" t="s">
        <v>52</v>
      </c>
      <c r="D60" s="98">
        <v>6</v>
      </c>
      <c r="E60" s="97" t="s">
        <v>76</v>
      </c>
      <c r="F60" s="98">
        <v>2</v>
      </c>
      <c r="G60" s="678" t="s">
        <v>54</v>
      </c>
      <c r="H60" s="99">
        <v>1</v>
      </c>
      <c r="I60" s="84"/>
      <c r="J60" s="84"/>
      <c r="K60" s="84"/>
    </row>
    <row r="61" spans="1:11" ht="12.75">
      <c r="A61" s="96" t="s">
        <v>179</v>
      </c>
      <c r="B61" s="134" t="s">
        <v>44</v>
      </c>
      <c r="C61" s="97" t="s">
        <v>52</v>
      </c>
      <c r="D61" s="98">
        <v>6</v>
      </c>
      <c r="E61" s="97" t="s">
        <v>76</v>
      </c>
      <c r="F61" s="98">
        <v>2</v>
      </c>
      <c r="G61" s="678" t="s">
        <v>54</v>
      </c>
      <c r="H61" s="99">
        <v>1</v>
      </c>
      <c r="I61" s="84"/>
      <c r="J61" s="84"/>
      <c r="K61" s="84"/>
    </row>
    <row r="62" spans="1:11" ht="12.75">
      <c r="A62" s="96" t="s">
        <v>176</v>
      </c>
      <c r="B62" s="134" t="s">
        <v>61</v>
      </c>
      <c r="C62" s="97" t="s">
        <v>54</v>
      </c>
      <c r="D62" s="98">
        <v>2</v>
      </c>
      <c r="E62" s="97" t="s">
        <v>54</v>
      </c>
      <c r="F62" s="98">
        <v>1</v>
      </c>
      <c r="G62" s="678" t="s">
        <v>54</v>
      </c>
      <c r="H62" s="99">
        <v>1</v>
      </c>
      <c r="I62" s="84"/>
      <c r="J62" s="84"/>
      <c r="K62" s="84"/>
    </row>
    <row r="63" spans="1:11" ht="12.75">
      <c r="A63" s="96" t="s">
        <v>173</v>
      </c>
      <c r="B63" s="134" t="s">
        <v>66</v>
      </c>
      <c r="C63" s="97" t="s">
        <v>133</v>
      </c>
      <c r="D63" s="98">
        <v>0</v>
      </c>
      <c r="E63" s="97" t="s">
        <v>54</v>
      </c>
      <c r="F63" s="98">
        <v>1</v>
      </c>
      <c r="G63" s="678" t="s">
        <v>54</v>
      </c>
      <c r="H63" s="99">
        <v>1</v>
      </c>
      <c r="I63" s="84"/>
      <c r="J63" s="84"/>
      <c r="K63" s="84"/>
    </row>
    <row r="64" spans="1:11" ht="12.75">
      <c r="A64" s="96" t="s">
        <v>174</v>
      </c>
      <c r="B64" s="134" t="s">
        <v>67</v>
      </c>
      <c r="C64" s="97" t="s">
        <v>54</v>
      </c>
      <c r="D64" s="98">
        <v>2</v>
      </c>
      <c r="E64" s="97" t="s">
        <v>54</v>
      </c>
      <c r="F64" s="98">
        <v>1</v>
      </c>
      <c r="G64" s="678" t="s">
        <v>54</v>
      </c>
      <c r="H64" s="99">
        <v>1</v>
      </c>
      <c r="I64" s="84"/>
      <c r="J64" s="84"/>
      <c r="K64" s="84"/>
    </row>
    <row r="65" spans="1:11" ht="12.75">
      <c r="A65" s="96" t="s">
        <v>175</v>
      </c>
      <c r="B65" s="134" t="s">
        <v>67</v>
      </c>
      <c r="C65" s="97" t="s">
        <v>76</v>
      </c>
      <c r="D65" s="98">
        <v>4</v>
      </c>
      <c r="E65" s="97" t="s">
        <v>54</v>
      </c>
      <c r="F65" s="98">
        <v>1</v>
      </c>
      <c r="G65" s="678" t="s">
        <v>54</v>
      </c>
      <c r="H65" s="99">
        <v>1</v>
      </c>
      <c r="I65" s="84"/>
      <c r="J65" s="84"/>
      <c r="K65" s="84"/>
    </row>
    <row r="66" spans="1:11" ht="12.75">
      <c r="A66" s="96" t="s">
        <v>177</v>
      </c>
      <c r="B66" s="134" t="s">
        <v>60</v>
      </c>
      <c r="C66" s="97" t="s">
        <v>76</v>
      </c>
      <c r="D66" s="98">
        <v>4</v>
      </c>
      <c r="E66" s="97" t="s">
        <v>54</v>
      </c>
      <c r="F66" s="98">
        <v>1</v>
      </c>
      <c r="G66" s="678" t="s">
        <v>54</v>
      </c>
      <c r="H66" s="99">
        <v>1</v>
      </c>
      <c r="I66" s="84"/>
      <c r="J66" s="84"/>
      <c r="K66" s="84"/>
    </row>
    <row r="67" spans="1:8" ht="12.75">
      <c r="A67" s="96" t="s">
        <v>178</v>
      </c>
      <c r="B67" s="134" t="s">
        <v>68</v>
      </c>
      <c r="C67" s="97" t="s">
        <v>54</v>
      </c>
      <c r="D67" s="98">
        <v>2</v>
      </c>
      <c r="E67" s="97" t="s">
        <v>54</v>
      </c>
      <c r="F67" s="98">
        <v>1</v>
      </c>
      <c r="G67" s="678" t="s">
        <v>54</v>
      </c>
      <c r="H67" s="99">
        <v>1</v>
      </c>
    </row>
    <row r="68" spans="1:8" ht="13.5" thickBot="1">
      <c r="A68" s="675" t="s">
        <v>328</v>
      </c>
      <c r="B68" s="676" t="s">
        <v>112</v>
      </c>
      <c r="C68" s="680" t="s">
        <v>54</v>
      </c>
      <c r="D68" s="151">
        <v>2</v>
      </c>
      <c r="E68" s="680" t="s">
        <v>54</v>
      </c>
      <c r="F68" s="151">
        <v>1</v>
      </c>
      <c r="G68" s="680"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1">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15" t="s">
        <v>261</v>
      </c>
      <c r="C2" s="815"/>
      <c r="D2" s="815"/>
      <c r="E2" s="815"/>
      <c r="F2" s="815"/>
      <c r="G2" s="815"/>
      <c r="H2" s="7"/>
    </row>
    <row r="3" spans="1:8" ht="13.5" thickBot="1">
      <c r="A3" s="7"/>
      <c r="B3" s="11" t="s">
        <v>214</v>
      </c>
      <c r="C3" s="7"/>
      <c r="D3" s="7"/>
      <c r="E3" s="7"/>
      <c r="F3" s="7"/>
      <c r="G3" s="7"/>
      <c r="H3" s="7"/>
    </row>
    <row r="4" spans="1:9" ht="51.7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7"/>
      <c r="F5" s="16"/>
      <c r="G5" s="16"/>
      <c r="H5" s="27"/>
      <c r="I5" s="398"/>
    </row>
    <row r="6" spans="1:9" ht="12.75">
      <c r="A6" s="7"/>
      <c r="B6" s="438" t="str">
        <f>'Biodiversity Impact Assessment'!D15</f>
        <v>Grassland: Poor semi-improved grassland</v>
      </c>
      <c r="C6" s="399">
        <f>'Biodiversity Impact Assessment'!N15</f>
        <v>2.0600000000000005</v>
      </c>
      <c r="D6" s="400" t="str">
        <f>'Biodiversity Impact Assessment'!F15</f>
        <v>Medium-Low</v>
      </c>
      <c r="E6" s="431" t="str">
        <f>IF(D6="High",'Biodiversity Impact Assessment'!O15,"0.00")</f>
        <v>0.00</v>
      </c>
      <c r="F6" s="432" t="str">
        <f>IF(D6="Medium-High",'Biodiversity Impact Assessment'!O15,"0.00")</f>
        <v>0.00</v>
      </c>
      <c r="G6" s="432" t="str">
        <f>IF(D6="Medium",'Biodiversity Impact Assessment'!O15,"0.00")</f>
        <v>0.00</v>
      </c>
      <c r="H6" s="432">
        <f>IF(D6="Medium-Low",'Biodiversity Impact Assessment'!O15,"0.00")</f>
        <v>6.1800000000000015</v>
      </c>
      <c r="I6" s="433" t="str">
        <f>IF(D6="Low",'Biodiversity Impact Assessment'!O15,"0.00")</f>
        <v>0.00</v>
      </c>
    </row>
    <row r="7" spans="1:9" ht="12.75">
      <c r="A7" s="7"/>
      <c r="B7" s="439" t="str">
        <f>'Biodiversity Impact Assessment'!D16</f>
        <v>Built Environment: Buildings/hardstanding</v>
      </c>
      <c r="C7" s="401">
        <f>'Biodiversity Impact Assessment'!N16</f>
        <v>0.11</v>
      </c>
      <c r="D7" s="402" t="str">
        <f>'Biodiversity Impact Assessment'!F16</f>
        <v>none</v>
      </c>
      <c r="E7" s="434" t="str">
        <f>IF(D7="High",'Biodiversity Impact Assessment'!O16,"0.00")</f>
        <v>0.00</v>
      </c>
      <c r="F7" s="435" t="str">
        <f>IF(D7="Medium-High",'Biodiversity Impact Assessment'!O16,"0.00")</f>
        <v>0.00</v>
      </c>
      <c r="G7" s="435" t="str">
        <f>IF(D7="Medium",'Biodiversity Impact Assessment'!O16,"0.00")</f>
        <v>0.00</v>
      </c>
      <c r="H7" s="435" t="str">
        <f>IF(D7="Medium-Low",'Biodiversity Impact Assessment'!O16,"0.00")</f>
        <v>0.00</v>
      </c>
      <c r="I7" s="436" t="str">
        <f>IF(D7="Low",'Biodiversity Impact Assessment'!O16,"0.00")</f>
        <v>0.00</v>
      </c>
    </row>
    <row r="8" spans="1:9" ht="12.75">
      <c r="A8" s="7"/>
      <c r="B8" s="439">
        <f>'Biodiversity Impact Assessment'!D17</f>
        <v>0</v>
      </c>
      <c r="C8" s="401">
        <f>'Biodiversity Impact Assessment'!N17</f>
      </c>
      <c r="D8" s="402">
        <f>'Biodiversity Impact Assessment'!F17</f>
      </c>
      <c r="E8" s="434" t="str">
        <f>IF(D8="High",'Biodiversity Impact Assessment'!O17,"0.00")</f>
        <v>0.00</v>
      </c>
      <c r="F8" s="435" t="str">
        <f>IF(D8="Medium-High",'Biodiversity Impact Assessment'!O17,"0.00")</f>
        <v>0.00</v>
      </c>
      <c r="G8" s="435" t="str">
        <f>IF(D8="Medium",'Biodiversity Impact Assessment'!O17,"0.00")</f>
        <v>0.00</v>
      </c>
      <c r="H8" s="435" t="str">
        <f>IF(D8="Medium-Low",'Biodiversity Impact Assessment'!O17,"0.00")</f>
        <v>0.00</v>
      </c>
      <c r="I8" s="436" t="str">
        <f>IF(D8="Low",'Biodiversity Impact Assessment'!O17,"0.00")</f>
        <v>0.00</v>
      </c>
    </row>
    <row r="9" spans="1:9" ht="12.75">
      <c r="A9" s="7"/>
      <c r="B9" s="439" t="str">
        <f>'Biodiversity Impact Assessment'!D18</f>
        <v>Grassland: Improved grassland</v>
      </c>
      <c r="C9" s="401">
        <f>'Biodiversity Impact Assessment'!N18</f>
        <v>0.37</v>
      </c>
      <c r="D9" s="402" t="str">
        <f>'Biodiversity Impact Assessment'!F18</f>
        <v>Low</v>
      </c>
      <c r="E9" s="434" t="str">
        <f>IF(D9="High",'Biodiversity Impact Assessment'!O18,"0.00")</f>
        <v>0.00</v>
      </c>
      <c r="F9" s="435" t="str">
        <f>IF(D9="Medium-High",'Biodiversity Impact Assessment'!O18,"0.00")</f>
        <v>0.00</v>
      </c>
      <c r="G9" s="435" t="str">
        <f>IF(D9="Medium",'Biodiversity Impact Assessment'!O18,"0.00")</f>
        <v>0.00</v>
      </c>
      <c r="H9" s="435" t="str">
        <f>IF(D9="Medium-Low",'Biodiversity Impact Assessment'!O18,"0.00")</f>
        <v>0.00</v>
      </c>
      <c r="I9" s="436">
        <f>IF(D9="Low",'Biodiversity Impact Assessment'!O18,"0.00")</f>
        <v>0.74</v>
      </c>
    </row>
    <row r="10" spans="1:9" ht="12.75">
      <c r="A10" s="7"/>
      <c r="B10" s="439" t="str">
        <f>'Biodiversity Impact Assessment'!D19</f>
        <v>Other: Tall ruderal</v>
      </c>
      <c r="C10" s="401">
        <f>'Biodiversity Impact Assessment'!N19</f>
        <v>0.07</v>
      </c>
      <c r="D10" s="402" t="str">
        <f>'Biodiversity Impact Assessment'!F19</f>
        <v>Medium-Low</v>
      </c>
      <c r="E10" s="434" t="str">
        <f>IF(D10="High",'Biodiversity Impact Assessment'!O19,"0.00")</f>
        <v>0.00</v>
      </c>
      <c r="F10" s="435" t="str">
        <f>IF(D10="Medium-High",'Biodiversity Impact Assessment'!O19,"0.00")</f>
        <v>0.00</v>
      </c>
      <c r="G10" s="435" t="str">
        <f>IF(D10="Medium",'Biodiversity Impact Assessment'!O19,"0.00")</f>
        <v>0.00</v>
      </c>
      <c r="H10" s="435">
        <f>IF(D10="Medium-Low",'Biodiversity Impact Assessment'!O19,"0.00")</f>
        <v>0.21000000000000002</v>
      </c>
      <c r="I10" s="436" t="str">
        <f>IF(D10="Low",'Biodiversity Impact Assessment'!O19,"0.00")</f>
        <v>0.00</v>
      </c>
    </row>
    <row r="11" spans="1:9" ht="12.75">
      <c r="A11" s="7"/>
      <c r="B11" s="439" t="str">
        <f>'Biodiversity Impact Assessment'!D20</f>
        <v>Other: Bare ground</v>
      </c>
      <c r="C11" s="401">
        <f>'Biodiversity Impact Assessment'!N20</f>
        <v>0.09</v>
      </c>
      <c r="D11" s="402" t="str">
        <f>'Biodiversity Impact Assessment'!F20</f>
        <v>Low</v>
      </c>
      <c r="E11" s="434" t="str">
        <f>IF(D11="High",'Biodiversity Impact Assessment'!O20,"0.00")</f>
        <v>0.00</v>
      </c>
      <c r="F11" s="435" t="str">
        <f>IF(D11="Medium-High",'Biodiversity Impact Assessment'!O20,"0.00")</f>
        <v>0.00</v>
      </c>
      <c r="G11" s="435" t="str">
        <f>IF(D11="Medium",'Biodiversity Impact Assessment'!O20,"0.00")</f>
        <v>0.00</v>
      </c>
      <c r="H11" s="435" t="str">
        <f>IF(D11="Medium-Low",'Biodiversity Impact Assessment'!O20,"0.00")</f>
        <v>0.00</v>
      </c>
      <c r="I11" s="436">
        <f>IF(D11="Low",'Biodiversity Impact Assessment'!O20,"0.00")</f>
        <v>0.18</v>
      </c>
    </row>
    <row r="12" spans="1:9" ht="12.75">
      <c r="A12" s="7"/>
      <c r="B12" s="439" t="str">
        <f>'Biodiversity Impact Assessment'!D21</f>
        <v>Woodland: Scattered trees</v>
      </c>
      <c r="C12" s="401">
        <f>'Biodiversity Impact Assessment'!N21</f>
        <v>0.14</v>
      </c>
      <c r="D12" s="402" t="str">
        <f>'Biodiversity Impact Assessment'!F21</f>
        <v>Medium</v>
      </c>
      <c r="E12" s="434" t="str">
        <f>IF(D12="High",'Biodiversity Impact Assessment'!O21,"0.00")</f>
        <v>0.00</v>
      </c>
      <c r="F12" s="435" t="str">
        <f>IF(D12="Medium-High",'Biodiversity Impact Assessment'!O21,"0.00")</f>
        <v>0.00</v>
      </c>
      <c r="G12" s="435">
        <f>IF(D12="Medium",'Biodiversity Impact Assessment'!O21,"0.00")</f>
        <v>1.12</v>
      </c>
      <c r="H12" s="435" t="str">
        <f>IF(D12="Medium-Low",'Biodiversity Impact Assessment'!O21,"0.00")</f>
        <v>0.00</v>
      </c>
      <c r="I12" s="436" t="str">
        <f>IF(D12="Low",'Biodiversity Impact Assessment'!O21,"0.00")</f>
        <v>0.00</v>
      </c>
    </row>
    <row r="13" spans="1:9" ht="12.75">
      <c r="A13" s="7"/>
      <c r="B13" s="439">
        <f>'Biodiversity Impact Assessment'!D22</f>
        <v>0</v>
      </c>
      <c r="C13" s="401">
        <f>'Biodiversity Impact Assessment'!N22</f>
      </c>
      <c r="D13" s="402">
        <f>'Biodiversity Impact Assessment'!F22</f>
      </c>
      <c r="E13" s="434" t="str">
        <f>IF(D13="High",'Biodiversity Impact Assessment'!O22,"0.00")</f>
        <v>0.00</v>
      </c>
      <c r="F13" s="435" t="str">
        <f>IF(D13="Medium-High",'Biodiversity Impact Assessment'!O22,"0.00")</f>
        <v>0.00</v>
      </c>
      <c r="G13" s="435" t="str">
        <f>IF(D13="Medium",'Biodiversity Impact Assessment'!O22,"0.00")</f>
        <v>0.00</v>
      </c>
      <c r="H13" s="435" t="str">
        <f>IF(D13="Medium-Low",'Biodiversity Impact Assessment'!O22,"0.00")</f>
        <v>0.00</v>
      </c>
      <c r="I13" s="436" t="str">
        <f>IF(D13="Low",'Biodiversity Impact Assessment'!O22,"0.00")</f>
        <v>0.00</v>
      </c>
    </row>
    <row r="14" spans="1:9" ht="12.75">
      <c r="A14" s="7"/>
      <c r="B14" s="439">
        <f>'Biodiversity Impact Assessment'!D23</f>
        <v>0</v>
      </c>
      <c r="C14" s="401">
        <f>'Biodiversity Impact Assessment'!N23</f>
      </c>
      <c r="D14" s="402">
        <f>'Biodiversity Impact Assessment'!F23</f>
      </c>
      <c r="E14" s="434" t="str">
        <f>IF(D14="High",'Biodiversity Impact Assessment'!O23,"0.00")</f>
        <v>0.00</v>
      </c>
      <c r="F14" s="435" t="str">
        <f>IF(D14="Medium-High",'Biodiversity Impact Assessment'!O23,"0.00")</f>
        <v>0.00</v>
      </c>
      <c r="G14" s="435" t="str">
        <f>IF(D14="Medium",'Biodiversity Impact Assessment'!O23,"0.00")</f>
        <v>0.00</v>
      </c>
      <c r="H14" s="435" t="str">
        <f>IF(D14="Medium-Low",'Biodiversity Impact Assessment'!O23,"0.00")</f>
        <v>0.00</v>
      </c>
      <c r="I14" s="436" t="str">
        <f>IF(D14="Low",'Biodiversity Impact Assessment'!O23,"0.00")</f>
        <v>0.00</v>
      </c>
    </row>
    <row r="15" spans="1:9" ht="12.75">
      <c r="A15" s="7"/>
      <c r="B15" s="439">
        <f>'Biodiversity Impact Assessment'!D24</f>
        <v>0</v>
      </c>
      <c r="C15" s="401">
        <f>'Biodiversity Impact Assessment'!N24</f>
      </c>
      <c r="D15" s="402">
        <f>'Biodiversity Impact Assessment'!F24</f>
      </c>
      <c r="E15" s="434" t="str">
        <f>IF(D15="High",'Biodiversity Impact Assessment'!O24,"0.00")</f>
        <v>0.00</v>
      </c>
      <c r="F15" s="435" t="str">
        <f>IF(D15="Medium-High",'Biodiversity Impact Assessment'!O24,"0.00")</f>
        <v>0.00</v>
      </c>
      <c r="G15" s="435" t="str">
        <f>IF(D15="Medium",'Biodiversity Impact Assessment'!O24,"0.00")</f>
        <v>0.00</v>
      </c>
      <c r="H15" s="435" t="str">
        <f>IF(D15="Medium-Low",'Biodiversity Impact Assessment'!O24,"0.00")</f>
        <v>0.00</v>
      </c>
      <c r="I15" s="436" t="str">
        <f>IF(D15="Low",'Biodiversity Impact Assessment'!O24,"0.00")</f>
        <v>0.00</v>
      </c>
    </row>
    <row r="16" spans="1:9" ht="12.75">
      <c r="A16" s="7"/>
      <c r="B16" s="439">
        <f>'Biodiversity Impact Assessment'!D25</f>
        <v>0</v>
      </c>
      <c r="C16" s="401">
        <f>'Biodiversity Impact Assessment'!N25</f>
      </c>
      <c r="D16" s="402">
        <f>'Biodiversity Impact Assessment'!F25</f>
      </c>
      <c r="E16" s="434" t="str">
        <f>IF(D16="High",'Biodiversity Impact Assessment'!O25,"0.00")</f>
        <v>0.00</v>
      </c>
      <c r="F16" s="435" t="str">
        <f>IF(D16="Medium-High",'Biodiversity Impact Assessment'!O25,"0.00")</f>
        <v>0.00</v>
      </c>
      <c r="G16" s="435" t="str">
        <f>IF(D16="Medium",'Biodiversity Impact Assessment'!O25,"0.00")</f>
        <v>0.00</v>
      </c>
      <c r="H16" s="435" t="str">
        <f>IF(D16="Medium-Low",'Biodiversity Impact Assessment'!O25,"0.00")</f>
        <v>0.00</v>
      </c>
      <c r="I16" s="436" t="str">
        <f>IF(D16="Low",'Biodiversity Impact Assessment'!O25,"0.00")</f>
        <v>0.00</v>
      </c>
    </row>
    <row r="17" spans="1:9" ht="12.75">
      <c r="A17" s="7"/>
      <c r="B17" s="439">
        <f>'Biodiversity Impact Assessment'!D26</f>
        <v>0</v>
      </c>
      <c r="C17" s="401">
        <f>'Biodiversity Impact Assessment'!N26</f>
      </c>
      <c r="D17" s="402">
        <f>'Biodiversity Impact Assessment'!F26</f>
      </c>
      <c r="E17" s="434" t="str">
        <f>IF(D17="High",'Biodiversity Impact Assessment'!O26,"0.00")</f>
        <v>0.00</v>
      </c>
      <c r="F17" s="435" t="str">
        <f>IF(D17="Medium-High",'Biodiversity Impact Assessment'!O26,"0.00")</f>
        <v>0.00</v>
      </c>
      <c r="G17" s="435" t="str">
        <f>IF(D17="Medium",'Biodiversity Impact Assessment'!O26,"0.00")</f>
        <v>0.00</v>
      </c>
      <c r="H17" s="435" t="str">
        <f>IF(D17="Medium-Low",'Biodiversity Impact Assessment'!O26,"0.00")</f>
        <v>0.00</v>
      </c>
      <c r="I17" s="436" t="str">
        <f>IF(D17="Low",'Biodiversity Impact Assessment'!O26,"0.00")</f>
        <v>0.00</v>
      </c>
    </row>
    <row r="18" spans="1:9" ht="12.75">
      <c r="A18" s="7"/>
      <c r="B18" s="439">
        <f>'Biodiversity Impact Assessment'!D27</f>
        <v>0</v>
      </c>
      <c r="C18" s="401">
        <f>'Biodiversity Impact Assessment'!N27</f>
      </c>
      <c r="D18" s="402">
        <f>'Biodiversity Impact Assessment'!F27</f>
      </c>
      <c r="E18" s="434" t="str">
        <f>IF(D18="High",'Biodiversity Impact Assessment'!O27,"0.00")</f>
        <v>0.00</v>
      </c>
      <c r="F18" s="435" t="str">
        <f>IF(D18="Medium-High",'Biodiversity Impact Assessment'!O27,"0.00")</f>
        <v>0.00</v>
      </c>
      <c r="G18" s="435" t="str">
        <f>IF(D18="Medium",'Biodiversity Impact Assessment'!O27,"0.00")</f>
        <v>0.00</v>
      </c>
      <c r="H18" s="435" t="str">
        <f>IF(D18="Medium-Low",'Biodiversity Impact Assessment'!O27,"0.00")</f>
        <v>0.00</v>
      </c>
      <c r="I18" s="436" t="str">
        <f>IF(D18="Low",'Biodiversity Impact Assessment'!O27,"0.00")</f>
        <v>0.00</v>
      </c>
    </row>
    <row r="19" spans="1:9" ht="12.75">
      <c r="A19" s="7"/>
      <c r="B19" s="439">
        <f>'Biodiversity Impact Assessment'!D28</f>
        <v>0</v>
      </c>
      <c r="C19" s="401">
        <f>'Biodiversity Impact Assessment'!N28</f>
      </c>
      <c r="D19" s="402">
        <f>'Biodiversity Impact Assessment'!F28</f>
      </c>
      <c r="E19" s="434" t="str">
        <f>IF(D19="High",'Biodiversity Impact Assessment'!O28,"0.00")</f>
        <v>0.00</v>
      </c>
      <c r="F19" s="435" t="str">
        <f>IF(D19="Medium-High",'Biodiversity Impact Assessment'!O28,"0.00")</f>
        <v>0.00</v>
      </c>
      <c r="G19" s="435" t="str">
        <f>IF(D19="Medium",'Biodiversity Impact Assessment'!O28,"0.00")</f>
        <v>0.00</v>
      </c>
      <c r="H19" s="435" t="str">
        <f>IF(D19="Medium-Low",'Biodiversity Impact Assessment'!O28,"0.00")</f>
        <v>0.00</v>
      </c>
      <c r="I19" s="436" t="str">
        <f>IF(D19="Low",'Biodiversity Impact Assessment'!O28,"0.00")</f>
        <v>0.00</v>
      </c>
    </row>
    <row r="20" spans="1:9" ht="12.75">
      <c r="A20" s="7"/>
      <c r="B20" s="439">
        <f>'Biodiversity Impact Assessment'!D29</f>
        <v>0</v>
      </c>
      <c r="C20" s="401">
        <f>'Biodiversity Impact Assessment'!N29</f>
      </c>
      <c r="D20" s="402">
        <f>'Biodiversity Impact Assessment'!F29</f>
      </c>
      <c r="E20" s="434" t="str">
        <f>IF(D20="High",'Biodiversity Impact Assessment'!O29,"0.00")</f>
        <v>0.00</v>
      </c>
      <c r="F20" s="435" t="str">
        <f>IF(D20="Medium-High",'Biodiversity Impact Assessment'!O29,"0.00")</f>
        <v>0.00</v>
      </c>
      <c r="G20" s="435" t="str">
        <f>IF(D20="Medium",'Biodiversity Impact Assessment'!O29,"0.00")</f>
        <v>0.00</v>
      </c>
      <c r="H20" s="435" t="str">
        <f>IF(D20="Medium-Low",'Biodiversity Impact Assessment'!O29,"0.00")</f>
        <v>0.00</v>
      </c>
      <c r="I20" s="436" t="str">
        <f>IF(D20="Low",'Biodiversity Impact Assessment'!O29,"0.00")</f>
        <v>0.00</v>
      </c>
    </row>
    <row r="21" spans="1:9" ht="12.75">
      <c r="A21" s="7"/>
      <c r="B21" s="439">
        <f>'Biodiversity Impact Assessment'!D30</f>
        <v>0</v>
      </c>
      <c r="C21" s="401">
        <f>'Biodiversity Impact Assessment'!N30</f>
      </c>
      <c r="D21" s="402">
        <f>'Biodiversity Impact Assessment'!F30</f>
      </c>
      <c r="E21" s="434" t="str">
        <f>IF(D21="High",'Biodiversity Impact Assessment'!O30,"0.00")</f>
        <v>0.00</v>
      </c>
      <c r="F21" s="435" t="str">
        <f>IF(D21="Medium-High",'Biodiversity Impact Assessment'!O30,"0.00")</f>
        <v>0.00</v>
      </c>
      <c r="G21" s="435" t="str">
        <f>IF(D21="Medium",'Biodiversity Impact Assessment'!O30,"0.00")</f>
        <v>0.00</v>
      </c>
      <c r="H21" s="435" t="str">
        <f>IF(D21="Medium-Low",'Biodiversity Impact Assessment'!O30,"0.00")</f>
        <v>0.00</v>
      </c>
      <c r="I21" s="436" t="str">
        <f>IF(D21="Low",'Biodiversity Impact Assessment'!O30,"0.00")</f>
        <v>0.00</v>
      </c>
    </row>
    <row r="22" spans="1:9" ht="12.75">
      <c r="A22" s="7"/>
      <c r="B22" s="439">
        <f>'Biodiversity Impact Assessment'!D31</f>
        <v>0</v>
      </c>
      <c r="C22" s="401">
        <f>'Biodiversity Impact Assessment'!N31</f>
      </c>
      <c r="D22" s="402">
        <f>'Biodiversity Impact Assessment'!F31</f>
      </c>
      <c r="E22" s="434" t="str">
        <f>IF(D22="High",'Biodiversity Impact Assessment'!O31,"0.00")</f>
        <v>0.00</v>
      </c>
      <c r="F22" s="435" t="str">
        <f>IF(D22="Medium-High",'Biodiversity Impact Assessment'!O31,"0.00")</f>
        <v>0.00</v>
      </c>
      <c r="G22" s="435" t="str">
        <f>IF(D22="Medium",'Biodiversity Impact Assessment'!O31,"0.00")</f>
        <v>0.00</v>
      </c>
      <c r="H22" s="435" t="str">
        <f>IF(D22="Medium-Low",'Biodiversity Impact Assessment'!O31,"0.00")</f>
        <v>0.00</v>
      </c>
      <c r="I22" s="436" t="str">
        <f>IF(D22="Low",'Biodiversity Impact Assessment'!O31,"0.00")</f>
        <v>0.00</v>
      </c>
    </row>
    <row r="23" spans="1:9" ht="12.75">
      <c r="A23" s="7"/>
      <c r="B23" s="439">
        <f>'Biodiversity Impact Assessment'!D32</f>
        <v>0</v>
      </c>
      <c r="C23" s="401">
        <f>'Biodiversity Impact Assessment'!N32</f>
      </c>
      <c r="D23" s="402">
        <f>'Biodiversity Impact Assessment'!F32</f>
      </c>
      <c r="E23" s="434" t="str">
        <f>IF(D23="High",'Biodiversity Impact Assessment'!O32,"0.00")</f>
        <v>0.00</v>
      </c>
      <c r="F23" s="435" t="str">
        <f>IF(D23="Medium-High",'Biodiversity Impact Assessment'!O32,"0.00")</f>
        <v>0.00</v>
      </c>
      <c r="G23" s="435" t="str">
        <f>IF(D23="Medium",'Biodiversity Impact Assessment'!O32,"0.00")</f>
        <v>0.00</v>
      </c>
      <c r="H23" s="435" t="str">
        <f>IF(D23="Medium-Low",'Biodiversity Impact Assessment'!O32,"0.00")</f>
        <v>0.00</v>
      </c>
      <c r="I23" s="436" t="str">
        <f>IF(D23="Low",'Biodiversity Impact Assessment'!O32,"0.00")</f>
        <v>0.00</v>
      </c>
    </row>
    <row r="24" spans="1:9" ht="12.75">
      <c r="A24" s="7"/>
      <c r="B24" s="439">
        <f>'Biodiversity Impact Assessment'!D33</f>
        <v>0</v>
      </c>
      <c r="C24" s="401">
        <f>'Biodiversity Impact Assessment'!N33</f>
      </c>
      <c r="D24" s="402">
        <f>'Biodiversity Impact Assessment'!F33</f>
      </c>
      <c r="E24" s="434" t="str">
        <f>IF(D24="High",'Biodiversity Impact Assessment'!O33,"0.00")</f>
        <v>0.00</v>
      </c>
      <c r="F24" s="435" t="str">
        <f>IF(D24="Medium-High",'Biodiversity Impact Assessment'!O33,"0.00")</f>
        <v>0.00</v>
      </c>
      <c r="G24" s="435" t="str">
        <f>IF(D24="Medium",'Biodiversity Impact Assessment'!O33,"0.00")</f>
        <v>0.00</v>
      </c>
      <c r="H24" s="435" t="str">
        <f>IF(D24="Medium-Low",'Biodiversity Impact Assessment'!O33,"0.00")</f>
        <v>0.00</v>
      </c>
      <c r="I24" s="436" t="str">
        <f>IF(D24="Low",'Biodiversity Impact Assessment'!O33,"0.00")</f>
        <v>0.00</v>
      </c>
    </row>
    <row r="25" spans="1:9" ht="12.75">
      <c r="A25" s="7"/>
      <c r="B25" s="439">
        <f>'Biodiversity Impact Assessment'!D34</f>
        <v>0</v>
      </c>
      <c r="C25" s="401">
        <f>'Biodiversity Impact Assessment'!N34</f>
      </c>
      <c r="D25" s="402">
        <f>'Biodiversity Impact Assessment'!F34</f>
      </c>
      <c r="E25" s="434" t="str">
        <f>IF(D25="High",'Biodiversity Impact Assessment'!O34,"0.00")</f>
        <v>0.00</v>
      </c>
      <c r="F25" s="435" t="str">
        <f>IF(D25="Medium-High",'Biodiversity Impact Assessment'!O34,"0.00")</f>
        <v>0.00</v>
      </c>
      <c r="G25" s="435" t="str">
        <f>IF(D25="Medium",'Biodiversity Impact Assessment'!O34,"0.00")</f>
        <v>0.00</v>
      </c>
      <c r="H25" s="435" t="str">
        <f>IF(D25="Medium-Low",'Biodiversity Impact Assessment'!O34,"0.00")</f>
        <v>0.00</v>
      </c>
      <c r="I25" s="436" t="str">
        <f>IF(D25="Low",'Biodiversity Impact Assessment'!O34,"0.00")</f>
        <v>0.00</v>
      </c>
    </row>
    <row r="26" spans="1:9" ht="12.75">
      <c r="A26" s="7"/>
      <c r="B26" s="439">
        <f>'Biodiversity Impact Assessment'!D35</f>
        <v>0</v>
      </c>
      <c r="C26" s="401">
        <f>'Biodiversity Impact Assessment'!N35</f>
      </c>
      <c r="D26" s="402">
        <f>'Biodiversity Impact Assessment'!F35</f>
      </c>
      <c r="E26" s="434" t="str">
        <f>IF(D26="High",'Biodiversity Impact Assessment'!O35,"0.00")</f>
        <v>0.00</v>
      </c>
      <c r="F26" s="435" t="str">
        <f>IF(D26="Medium-High",'Biodiversity Impact Assessment'!O35,"0.00")</f>
        <v>0.00</v>
      </c>
      <c r="G26" s="435" t="str">
        <f>IF(D26="Medium",'Biodiversity Impact Assessment'!O35,"0.00")</f>
        <v>0.00</v>
      </c>
      <c r="H26" s="435" t="str">
        <f>IF(D26="Medium-Low",'Biodiversity Impact Assessment'!O35,"0.00")</f>
        <v>0.00</v>
      </c>
      <c r="I26" s="436" t="str">
        <f>IF(D26="Low",'Biodiversity Impact Assessment'!O35,"0.00")</f>
        <v>0.00</v>
      </c>
    </row>
    <row r="27" spans="1:9" ht="12.75">
      <c r="A27" s="7"/>
      <c r="B27" s="439">
        <f>'Biodiversity Impact Assessment'!D36</f>
        <v>0</v>
      </c>
      <c r="C27" s="401">
        <f>'Biodiversity Impact Assessment'!N36</f>
      </c>
      <c r="D27" s="402">
        <f>'Biodiversity Impact Assessment'!F36</f>
      </c>
      <c r="E27" s="434" t="str">
        <f>IF(D27="High",'Biodiversity Impact Assessment'!O36,"0.00")</f>
        <v>0.00</v>
      </c>
      <c r="F27" s="435" t="str">
        <f>IF(D27="Medium-High",'Biodiversity Impact Assessment'!O36,"0.00")</f>
        <v>0.00</v>
      </c>
      <c r="G27" s="435" t="str">
        <f>IF(D27="Medium",'Biodiversity Impact Assessment'!O36,"0.00")</f>
        <v>0.00</v>
      </c>
      <c r="H27" s="435" t="str">
        <f>IF(D27="Medium-Low",'Biodiversity Impact Assessment'!O36,"0.00")</f>
        <v>0.00</v>
      </c>
      <c r="I27" s="436" t="str">
        <f>IF(D27="Low",'Biodiversity Impact Assessment'!O36,"0.00")</f>
        <v>0.00</v>
      </c>
    </row>
    <row r="28" spans="1:9" ht="12.75">
      <c r="A28" s="7"/>
      <c r="B28" s="439">
        <f>'Biodiversity Impact Assessment'!D37</f>
        <v>0</v>
      </c>
      <c r="C28" s="401">
        <f>'Biodiversity Impact Assessment'!N37</f>
      </c>
      <c r="D28" s="402">
        <f>'Biodiversity Impact Assessment'!F37</f>
      </c>
      <c r="E28" s="434" t="str">
        <f>IF(D28="High",'Biodiversity Impact Assessment'!O37,"0.00")</f>
        <v>0.00</v>
      </c>
      <c r="F28" s="435" t="str">
        <f>IF(D28="Medium-High",'Biodiversity Impact Assessment'!O37,"0.00")</f>
        <v>0.00</v>
      </c>
      <c r="G28" s="435" t="str">
        <f>IF(D28="Medium",'Biodiversity Impact Assessment'!O37,"0.00")</f>
        <v>0.00</v>
      </c>
      <c r="H28" s="435" t="str">
        <f>IF(D28="Medium-Low",'Biodiversity Impact Assessment'!O37,"0.00")</f>
        <v>0.00</v>
      </c>
      <c r="I28" s="436" t="str">
        <f>IF(D28="Low",'Biodiversity Impact Assessment'!O37,"0.00")</f>
        <v>0.00</v>
      </c>
    </row>
    <row r="29" spans="1:9" ht="12.75">
      <c r="A29" s="7"/>
      <c r="B29" s="439">
        <f>'Biodiversity Impact Assessment'!D38</f>
        <v>0</v>
      </c>
      <c r="C29" s="401">
        <f>'Biodiversity Impact Assessment'!N38</f>
      </c>
      <c r="D29" s="402">
        <f>'Biodiversity Impact Assessment'!F38</f>
      </c>
      <c r="E29" s="434" t="str">
        <f>IF(D29="High",'Biodiversity Impact Assessment'!O38,"0.00")</f>
        <v>0.00</v>
      </c>
      <c r="F29" s="435" t="str">
        <f>IF(D29="Medium-High",'Biodiversity Impact Assessment'!O38,"0.00")</f>
        <v>0.00</v>
      </c>
      <c r="G29" s="435" t="str">
        <f>IF(D29="Medium",'Biodiversity Impact Assessment'!O38,"0.00")</f>
        <v>0.00</v>
      </c>
      <c r="H29" s="435" t="str">
        <f>IF(D29="Medium-Low",'Biodiversity Impact Assessment'!O38,"0.00")</f>
        <v>0.00</v>
      </c>
      <c r="I29" s="436" t="str">
        <f>IF(D29="Low",'Biodiversity Impact Assessment'!O38,"0.00")</f>
        <v>0.00</v>
      </c>
    </row>
    <row r="30" spans="1:9" ht="12.75">
      <c r="A30" s="7"/>
      <c r="B30" s="439">
        <f>'Biodiversity Impact Assessment'!D39</f>
        <v>0</v>
      </c>
      <c r="C30" s="401">
        <f>'Biodiversity Impact Assessment'!N39</f>
      </c>
      <c r="D30" s="402">
        <f>'Biodiversity Impact Assessment'!F39</f>
      </c>
      <c r="E30" s="434" t="str">
        <f>IF(D30="High",'Biodiversity Impact Assessment'!O39,"0.00")</f>
        <v>0.00</v>
      </c>
      <c r="F30" s="435" t="str">
        <f>IF(D30="Medium-High",'Biodiversity Impact Assessment'!O39,"0.00")</f>
        <v>0.00</v>
      </c>
      <c r="G30" s="435" t="str">
        <f>IF(D30="Medium",'Biodiversity Impact Assessment'!O39,"0.00")</f>
        <v>0.00</v>
      </c>
      <c r="H30" s="435" t="str">
        <f>IF(D30="Medium-Low",'Biodiversity Impact Assessment'!O39,"0.00")</f>
        <v>0.00</v>
      </c>
      <c r="I30" s="436" t="str">
        <f>IF(D30="Low",'Biodiversity Impact Assessment'!O39,"0.00")</f>
        <v>0.00</v>
      </c>
    </row>
    <row r="31" spans="1:9" ht="12.75">
      <c r="A31" s="7"/>
      <c r="B31" s="439">
        <f>'Biodiversity Impact Assessment'!D40</f>
        <v>0</v>
      </c>
      <c r="C31" s="401">
        <f>'Biodiversity Impact Assessment'!N40</f>
      </c>
      <c r="D31" s="402">
        <f>'Biodiversity Impact Assessment'!F40</f>
      </c>
      <c r="E31" s="434" t="str">
        <f>IF(D31="High",'Biodiversity Impact Assessment'!O40,"0.00")</f>
        <v>0.00</v>
      </c>
      <c r="F31" s="435" t="str">
        <f>IF(D31="Medium-High",'Biodiversity Impact Assessment'!O40,"0.00")</f>
        <v>0.00</v>
      </c>
      <c r="G31" s="435" t="str">
        <f>IF(D31="Medium",'Biodiversity Impact Assessment'!O40,"0.00")</f>
        <v>0.00</v>
      </c>
      <c r="H31" s="435" t="str">
        <f>IF(D31="Medium-Low",'Biodiversity Impact Assessment'!O40,"0.00")</f>
        <v>0.00</v>
      </c>
      <c r="I31" s="436" t="str">
        <f>IF(D31="Low",'Biodiversity Impact Assessment'!O40,"0.00")</f>
        <v>0.00</v>
      </c>
    </row>
    <row r="32" spans="1:9" ht="12.75">
      <c r="A32" s="7"/>
      <c r="B32" s="439">
        <f>'Biodiversity Impact Assessment'!D41</f>
        <v>0</v>
      </c>
      <c r="C32" s="401">
        <f>'Biodiversity Impact Assessment'!N41</f>
      </c>
      <c r="D32" s="402">
        <f>'Biodiversity Impact Assessment'!F41</f>
      </c>
      <c r="E32" s="434" t="str">
        <f>IF(D32="High",'Biodiversity Impact Assessment'!O41,"0.00")</f>
        <v>0.00</v>
      </c>
      <c r="F32" s="435" t="str">
        <f>IF(D32="Medium-High",'Biodiversity Impact Assessment'!O41,"0.00")</f>
        <v>0.00</v>
      </c>
      <c r="G32" s="435" t="str">
        <f>IF(D32="Medium",'Biodiversity Impact Assessment'!O41,"0.00")</f>
        <v>0.00</v>
      </c>
      <c r="H32" s="435" t="str">
        <f>IF(D32="Medium-Low",'Biodiversity Impact Assessment'!O41,"0.00")</f>
        <v>0.00</v>
      </c>
      <c r="I32" s="436" t="str">
        <f>IF(D32="Low",'Biodiversity Impact Assessment'!O41,"0.00")</f>
        <v>0.00</v>
      </c>
    </row>
    <row r="33" spans="1:9" ht="12.75">
      <c r="A33" s="7"/>
      <c r="B33" s="439">
        <f>'Biodiversity Impact Assessment'!D42</f>
        <v>0</v>
      </c>
      <c r="C33" s="401">
        <f>'Biodiversity Impact Assessment'!N42</f>
      </c>
      <c r="D33" s="402">
        <f>'Biodiversity Impact Assessment'!F42</f>
      </c>
      <c r="E33" s="434" t="str">
        <f>IF(D33="High",'Biodiversity Impact Assessment'!O42,"0.00")</f>
        <v>0.00</v>
      </c>
      <c r="F33" s="435" t="str">
        <f>IF(D33="Medium-High",'Biodiversity Impact Assessment'!O42,"0.00")</f>
        <v>0.00</v>
      </c>
      <c r="G33" s="435" t="str">
        <f>IF(D33="Medium",'Biodiversity Impact Assessment'!O42,"0.00")</f>
        <v>0.00</v>
      </c>
      <c r="H33" s="435" t="str">
        <f>IF(D33="Medium-Low",'Biodiversity Impact Assessment'!O42,"0.00")</f>
        <v>0.00</v>
      </c>
      <c r="I33" s="436" t="str">
        <f>IF(D33="Low",'Biodiversity Impact Assessment'!O42,"0.00")</f>
        <v>0.00</v>
      </c>
    </row>
    <row r="34" spans="1:9" ht="12.75">
      <c r="A34" s="7"/>
      <c r="B34" s="439">
        <f>'Biodiversity Impact Assessment'!D43</f>
        <v>0</v>
      </c>
      <c r="C34" s="401">
        <f>'Biodiversity Impact Assessment'!N43</f>
      </c>
      <c r="D34" s="402">
        <f>'Biodiversity Impact Assessment'!F43</f>
      </c>
      <c r="E34" s="434" t="str">
        <f>IF(D34="High",'Biodiversity Impact Assessment'!O43,"0.00")</f>
        <v>0.00</v>
      </c>
      <c r="F34" s="435" t="str">
        <f>IF(D34="Medium-High",'Biodiversity Impact Assessment'!O43,"0.00")</f>
        <v>0.00</v>
      </c>
      <c r="G34" s="435" t="str">
        <f>IF(D34="Medium",'Biodiversity Impact Assessment'!O43,"0.00")</f>
        <v>0.00</v>
      </c>
      <c r="H34" s="435" t="str">
        <f>IF(D34="Medium-Low",'Biodiversity Impact Assessment'!O43,"0.00")</f>
        <v>0.00</v>
      </c>
      <c r="I34" s="436" t="str">
        <f>IF(D34="Low",'Biodiversity Impact Assessment'!O43,"0.00")</f>
        <v>0.00</v>
      </c>
    </row>
    <row r="35" spans="1:9" ht="13.5" thickBot="1">
      <c r="A35" s="7"/>
      <c r="B35" s="441">
        <f>'Biodiversity Impact Assessment'!D44</f>
        <v>0</v>
      </c>
      <c r="C35" s="403">
        <f>'Biodiversity Impact Assessment'!N44</f>
      </c>
      <c r="D35" s="404">
        <f>'Biodiversity Impact Assessment'!F44</f>
      </c>
      <c r="E35" s="649" t="str">
        <f>IF(D35="High",'Biodiversity Impact Assessment'!O44,"0.00")</f>
        <v>0.00</v>
      </c>
      <c r="F35" s="650" t="str">
        <f>IF(D35="Medium-High",'Biodiversity Impact Assessment'!O44,"0.00")</f>
        <v>0.00</v>
      </c>
      <c r="G35" s="650" t="str">
        <f>IF(D35="Medium",'Biodiversity Impact Assessment'!O44,"0.00")</f>
        <v>0.00</v>
      </c>
      <c r="H35" s="650" t="str">
        <f>IF(D35="Medium-Low",'Biodiversity Impact Assessment'!O44,"0.00")</f>
        <v>0.00</v>
      </c>
      <c r="I35" s="651" t="str">
        <f>IF(D35="Low",'Biodiversity Impact Assessment'!O44,"0.00")</f>
        <v>0.00</v>
      </c>
    </row>
    <row r="36" spans="1:9" ht="13.5" thickBot="1">
      <c r="A36" s="7"/>
      <c r="B36" s="394" t="s">
        <v>296</v>
      </c>
      <c r="C36" s="395"/>
      <c r="D36" s="396"/>
      <c r="E36" s="624"/>
      <c r="F36" s="625"/>
      <c r="G36" s="625"/>
      <c r="H36" s="626"/>
      <c r="I36" s="627"/>
    </row>
    <row r="37" spans="1:9" ht="12.75">
      <c r="A37" s="7"/>
      <c r="B37" s="438">
        <f>'Biodiversity Impact Assessment'!D50</f>
        <v>0</v>
      </c>
      <c r="C37" s="405">
        <f>'Biodiversity Impact Assessment'!E50</f>
        <v>0</v>
      </c>
      <c r="D37" s="646">
        <f>'Biodiversity Impact Assessment'!F50</f>
      </c>
      <c r="E37" s="431" t="str">
        <f>IF(D37="High",'Biodiversity Impact Assessment'!K50,"0.00")</f>
        <v>0.00</v>
      </c>
      <c r="F37" s="432" t="str">
        <f>IF(D37="Medium-High",'Biodiversity Impact Assessment'!K50,"0.00")</f>
        <v>0.00</v>
      </c>
      <c r="G37" s="432" t="str">
        <f>IF(D37="Medium",'Biodiversity Impact Assessment'!K50,"0.00")</f>
        <v>0.00</v>
      </c>
      <c r="H37" s="432" t="str">
        <f>IF(D37="Medium-Low",'Biodiversity Impact Assessment'!K50,"0.00")</f>
        <v>0.00</v>
      </c>
      <c r="I37" s="433" t="str">
        <f>IF(D37="Low",'Biodiversity Impact Assessment'!K50,"0.00")</f>
        <v>0.00</v>
      </c>
    </row>
    <row r="38" spans="1:9" ht="12.75">
      <c r="A38" s="7"/>
      <c r="B38" s="439">
        <f>'Biodiversity Impact Assessment'!D52</f>
        <v>0</v>
      </c>
      <c r="C38" s="407">
        <f>'Biodiversity Impact Assessment'!E52</f>
        <v>0</v>
      </c>
      <c r="D38" s="647">
        <f>'Biodiversity Impact Assessment'!F52</f>
      </c>
      <c r="E38" s="434" t="str">
        <f>IF(D38="High",'Biodiversity Impact Assessment'!K52,"0.00")</f>
        <v>0.00</v>
      </c>
      <c r="F38" s="435" t="str">
        <f>IF(D38="Medium-High",'Biodiversity Impact Assessment'!K52,"0.00")</f>
        <v>0.00</v>
      </c>
      <c r="G38" s="435" t="str">
        <f>IF(D38="Medium",'Biodiversity Impact Assessment'!K52,"0.00")</f>
        <v>0.00</v>
      </c>
      <c r="H38" s="435" t="str">
        <f>IF(D38="Medium-Low",'Biodiversity Impact Assessment'!K52,"0.00")</f>
        <v>0.00</v>
      </c>
      <c r="I38" s="436" t="str">
        <f>IF(D38="Low",'Biodiversity Impact Assessment'!K52,"0.00")</f>
        <v>0.00</v>
      </c>
    </row>
    <row r="39" spans="1:9" ht="12.75">
      <c r="A39" s="7"/>
      <c r="B39" s="439">
        <f>'Biodiversity Impact Assessment'!D54</f>
        <v>0</v>
      </c>
      <c r="C39" s="407">
        <f>'Biodiversity Impact Assessment'!E54</f>
        <v>0</v>
      </c>
      <c r="D39" s="647">
        <f>'Biodiversity Impact Assessment'!F54</f>
      </c>
      <c r="E39" s="434" t="str">
        <f>IF(D39="High",'Biodiversity Impact Assessment'!K54,"0.00")</f>
        <v>0.00</v>
      </c>
      <c r="F39" s="435" t="str">
        <f>IF(D39="Medium-High",'Biodiversity Impact Assessment'!K54,"0.00")</f>
        <v>0.00</v>
      </c>
      <c r="G39" s="435" t="str">
        <f>IF(D39="Medium",'Biodiversity Impact Assessment'!K54,"0.00")</f>
        <v>0.00</v>
      </c>
      <c r="H39" s="435" t="str">
        <f>IF(D39="Medium-Low",'Biodiversity Impact Assessment'!K54,"0.00")</f>
        <v>0.00</v>
      </c>
      <c r="I39" s="436" t="str">
        <f>IF(D39="Low",'Biodiversity Impact Assessment'!K54,"0.00")</f>
        <v>0.00</v>
      </c>
    </row>
    <row r="40" spans="1:9" ht="12.75">
      <c r="A40" s="7"/>
      <c r="B40" s="439">
        <f>'Biodiversity Impact Assessment'!D56</f>
        <v>0</v>
      </c>
      <c r="C40" s="407">
        <f>'Biodiversity Impact Assessment'!E56</f>
        <v>0</v>
      </c>
      <c r="D40" s="647">
        <f>'Biodiversity Impact Assessment'!F56</f>
      </c>
      <c r="E40" s="434" t="str">
        <f>IF(D40="High",'Biodiversity Impact Assessment'!K56,"0.00")</f>
        <v>0.00</v>
      </c>
      <c r="F40" s="435" t="str">
        <f>IF(D40="Medium-High",'Biodiversity Impact Assessment'!K56,"0.00")</f>
        <v>0.00</v>
      </c>
      <c r="G40" s="435" t="str">
        <f>IF(D40="Medium",'Biodiversity Impact Assessment'!K56,"0.00")</f>
        <v>0.00</v>
      </c>
      <c r="H40" s="435" t="str">
        <f>IF(D40="Medium-Low",'Biodiversity Impact Assessment'!K56,"0.00")</f>
        <v>0.00</v>
      </c>
      <c r="I40" s="436" t="str">
        <f>IF(D40="Low",'Biodiversity Impact Assessment'!K56,"0.00")</f>
        <v>0.00</v>
      </c>
    </row>
    <row r="41" spans="1:9" ht="13.5" thickBot="1">
      <c r="A41" s="7"/>
      <c r="B41" s="440">
        <f>'Biodiversity Impact Assessment'!D58</f>
        <v>0</v>
      </c>
      <c r="C41" s="409">
        <f>'Biodiversity Impact Assessment'!E58</f>
        <v>0</v>
      </c>
      <c r="D41" s="648">
        <f>'Biodiversity Impact Assessment'!F58</f>
      </c>
      <c r="E41" s="649" t="str">
        <f>IF(D41="High",'Biodiversity Impact Assessment'!K58,"0.00")</f>
        <v>0.00</v>
      </c>
      <c r="F41" s="650" t="str">
        <f>IF(D41="Medium-High",'Biodiversity Impact Assessment'!K58,"0.00")</f>
        <v>0.00</v>
      </c>
      <c r="G41" s="650" t="str">
        <f>IF(D41="Medium",'Biodiversity Impact Assessment'!K58,"0.00")</f>
        <v>0.00</v>
      </c>
      <c r="H41" s="650" t="str">
        <f>IF(D41="Medium-Low",'Biodiversity Impact Assessment'!K58,"0.00")</f>
        <v>0.00</v>
      </c>
      <c r="I41" s="651" t="str">
        <f>IF(D41="Low",'Biodiversity Impact Assessment'!K58,"0.00")</f>
        <v>0.00</v>
      </c>
    </row>
    <row r="42" spans="1:9" ht="13.5" thickBot="1">
      <c r="A42" s="7"/>
      <c r="B42" s="20" t="s">
        <v>219</v>
      </c>
      <c r="C42" s="21">
        <f>SUM(C6:C41)</f>
        <v>2.8400000000000003</v>
      </c>
      <c r="D42" s="26"/>
      <c r="E42" s="428">
        <f>SUM(E6:E41)</f>
        <v>0</v>
      </c>
      <c r="F42" s="429">
        <f>SUM(F6:F41)</f>
        <v>0</v>
      </c>
      <c r="G42" s="429">
        <f>SUM(G6:G41)</f>
        <v>1.12</v>
      </c>
      <c r="H42" s="429">
        <f>SUM(H6:H41)</f>
        <v>6.3900000000000015</v>
      </c>
      <c r="I42" s="430">
        <f>SUM(I6:I41)</f>
        <v>0.9199999999999999</v>
      </c>
    </row>
    <row r="43" spans="1:9" ht="12.75">
      <c r="A43" s="7"/>
      <c r="B43" s="7"/>
      <c r="C43" s="7"/>
      <c r="D43" s="7"/>
      <c r="E43" s="7"/>
      <c r="F43" s="7"/>
      <c r="G43" s="7"/>
      <c r="H43" s="13"/>
      <c r="I43" s="13"/>
    </row>
    <row r="44" spans="1:8" ht="13.5" thickBot="1">
      <c r="A44" s="7"/>
      <c r="B44" s="11" t="s">
        <v>220</v>
      </c>
      <c r="C44" s="7"/>
      <c r="D44" s="7"/>
      <c r="E44" s="7"/>
      <c r="F44" s="7"/>
      <c r="G44" s="7"/>
      <c r="H44" s="7"/>
    </row>
    <row r="45" spans="1:9" ht="51.75" thickBot="1">
      <c r="A45" s="7"/>
      <c r="B45" s="22" t="s">
        <v>229</v>
      </c>
      <c r="C45" s="14" t="s">
        <v>221</v>
      </c>
      <c r="D45" s="27" t="s">
        <v>0</v>
      </c>
      <c r="E45" s="29" t="s">
        <v>316</v>
      </c>
      <c r="F45" s="30" t="s">
        <v>317</v>
      </c>
      <c r="G45" s="30" t="s">
        <v>318</v>
      </c>
      <c r="H45" s="30" t="s">
        <v>319</v>
      </c>
      <c r="I45" s="31" t="s">
        <v>320</v>
      </c>
    </row>
    <row r="46" spans="1:9" ht="12.75">
      <c r="A46" s="7"/>
      <c r="B46" s="438">
        <f>'Biodiversity Impact Assessment'!D67</f>
        <v>0</v>
      </c>
      <c r="C46" s="405">
        <f>'Biodiversity Impact Assessment'!E67</f>
        <v>0</v>
      </c>
      <c r="D46" s="406">
        <f>'Biodiversity Impact Assessment'!F67</f>
      </c>
      <c r="E46" s="652" t="str">
        <f>IF(D46="High",'Biodiversity Impact Assessment'!$O67,"0.00")</f>
        <v>0.00</v>
      </c>
      <c r="F46" s="653" t="str">
        <f>IF(D46="Medium-High",'Biodiversity Impact Assessment'!$O67,"0.00")</f>
        <v>0.00</v>
      </c>
      <c r="G46" s="653" t="str">
        <f>IF(D46="Medium",'Biodiversity Impact Assessment'!$O67,"0.00")</f>
        <v>0.00</v>
      </c>
      <c r="H46" s="653" t="str">
        <f>IF(D46="Medium-Low",'Biodiversity Impact Assessment'!$O67,"0.00")</f>
        <v>0.00</v>
      </c>
      <c r="I46" s="654" t="str">
        <f>IF(D46="Low",'Biodiversity Impact Assessment'!$O67,"0.00")</f>
        <v>0.00</v>
      </c>
    </row>
    <row r="47" spans="1:9" ht="12.75">
      <c r="A47" s="7"/>
      <c r="B47" s="439">
        <f>'Biodiversity Impact Assessment'!D68</f>
        <v>0</v>
      </c>
      <c r="C47" s="407">
        <f>'Biodiversity Impact Assessment'!E68</f>
        <v>0</v>
      </c>
      <c r="D47" s="408">
        <f>'Biodiversity Impact Assessment'!F68</f>
      </c>
      <c r="E47" s="652" t="str">
        <f>IF(D47="High",'Biodiversity Impact Assessment'!$O68,"0.00")</f>
        <v>0.00</v>
      </c>
      <c r="F47" s="653" t="str">
        <f>IF(D47="Medium-High",'Biodiversity Impact Assessment'!$O68,"0.00")</f>
        <v>0.00</v>
      </c>
      <c r="G47" s="653" t="str">
        <f>IF(D47="Medium",'Biodiversity Impact Assessment'!$O68,"0.00")</f>
        <v>0.00</v>
      </c>
      <c r="H47" s="653" t="str">
        <f>IF(D47="Medium-Low",'Biodiversity Impact Assessment'!$O68,"0.00")</f>
        <v>0.00</v>
      </c>
      <c r="I47" s="654" t="str">
        <f>IF(D47="Low",'Biodiversity Impact Assessment'!$O68,"0.00")</f>
        <v>0.00</v>
      </c>
    </row>
    <row r="48" spans="1:9" ht="12.75">
      <c r="A48" s="7"/>
      <c r="B48" s="439" t="str">
        <f>'Biodiversity Impact Assessment'!D69</f>
        <v>Built Environment: Gardens (lawn and planting)</v>
      </c>
      <c r="C48" s="407">
        <f>'Biodiversity Impact Assessment'!E69</f>
        <v>0.38</v>
      </c>
      <c r="D48" s="408" t="str">
        <f>'Biodiversity Impact Assessment'!F69</f>
        <v>Low</v>
      </c>
      <c r="E48" s="652" t="str">
        <f>IF(D48="High",'Biodiversity Impact Assessment'!$O69,"0.00")</f>
        <v>0.00</v>
      </c>
      <c r="F48" s="653" t="str">
        <f>IF(D48="Medium-High",'Biodiversity Impact Assessment'!$O69,"0.00")</f>
        <v>0.00</v>
      </c>
      <c r="G48" s="653" t="str">
        <f>IF(D48="Medium",'Biodiversity Impact Assessment'!$O69,"0.00")</f>
        <v>0.00</v>
      </c>
      <c r="H48" s="653" t="str">
        <f>IF(D48="Medium-Low",'Biodiversity Impact Assessment'!$O69,"0.00")</f>
        <v>0.00</v>
      </c>
      <c r="I48" s="654">
        <f>IF(D48="Low",'Biodiversity Impact Assessment'!$O69,"0.00")</f>
        <v>0.6333333333333334</v>
      </c>
    </row>
    <row r="49" spans="1:9" ht="12.75">
      <c r="A49" s="7"/>
      <c r="B49" s="439" t="str">
        <f>'Biodiversity Impact Assessment'!D70</f>
        <v>Built Environment: Buildings/hardstanding</v>
      </c>
      <c r="C49" s="407">
        <f>'Biodiversity Impact Assessment'!E70</f>
        <v>1.8</v>
      </c>
      <c r="D49" s="408" t="str">
        <f>'Biodiversity Impact Assessment'!F70</f>
        <v>none</v>
      </c>
      <c r="E49" s="652" t="str">
        <f>IF(D49="High",'Biodiversity Impact Assessment'!$O70,"0.00")</f>
        <v>0.00</v>
      </c>
      <c r="F49" s="653" t="str">
        <f>IF(D49="Medium-High",'Biodiversity Impact Assessment'!$O70,"0.00")</f>
        <v>0.00</v>
      </c>
      <c r="G49" s="653" t="str">
        <f>IF(D49="Medium",'Biodiversity Impact Assessment'!$O70,"0.00")</f>
        <v>0.00</v>
      </c>
      <c r="H49" s="653" t="str">
        <f>IF(D49="Medium-Low",'Biodiversity Impact Assessment'!$O70,"0.00")</f>
        <v>0.00</v>
      </c>
      <c r="I49" s="654" t="str">
        <f>IF(D49="Low",'Biodiversity Impact Assessment'!$O70,"0.00")</f>
        <v>0.00</v>
      </c>
    </row>
    <row r="50" spans="1:9" ht="12.75">
      <c r="A50" s="7"/>
      <c r="B50" s="439" t="str">
        <f>'Biodiversity Impact Assessment'!D71</f>
        <v>Other: Bare ground</v>
      </c>
      <c r="C50" s="407">
        <f>'Biodiversity Impact Assessment'!E71</f>
        <v>0.06</v>
      </c>
      <c r="D50" s="408" t="str">
        <f>'Biodiversity Impact Assessment'!F71</f>
        <v>Low</v>
      </c>
      <c r="E50" s="652" t="str">
        <f>IF(D50="High",'Biodiversity Impact Assessment'!$O71,"0.00")</f>
        <v>0.00</v>
      </c>
      <c r="F50" s="653" t="str">
        <f>IF(D50="Medium-High",'Biodiversity Impact Assessment'!$O71,"0.00")</f>
        <v>0.00</v>
      </c>
      <c r="G50" s="653" t="str">
        <f>IF(D50="Medium",'Biodiversity Impact Assessment'!$O71,"0.00")</f>
        <v>0.00</v>
      </c>
      <c r="H50" s="653" t="str">
        <f>IF(D50="Medium-Low",'Biodiversity Impact Assessment'!$O71,"0.00")</f>
        <v>0.00</v>
      </c>
      <c r="I50" s="654">
        <f>IF(D50="Low",'Biodiversity Impact Assessment'!$O71,"0.00")</f>
        <v>0.1</v>
      </c>
    </row>
    <row r="51" spans="1:9" ht="12.75">
      <c r="A51" s="7"/>
      <c r="B51" s="439" t="str">
        <f>'Biodiversity Impact Assessment'!D72</f>
        <v>Woodland: Broad-leaved plantation</v>
      </c>
      <c r="C51" s="407">
        <f>'Biodiversity Impact Assessment'!E72</f>
        <v>0.24</v>
      </c>
      <c r="D51" s="408" t="str">
        <f>'Biodiversity Impact Assessment'!F72</f>
        <v>Medium</v>
      </c>
      <c r="E51" s="652" t="str">
        <f>IF(D51="High",'Biodiversity Impact Assessment'!$O72,"0.00")</f>
        <v>0.00</v>
      </c>
      <c r="F51" s="653" t="str">
        <f>IF(D51="Medium-High",'Biodiversity Impact Assessment'!$O72,"0.00")</f>
        <v>0.00</v>
      </c>
      <c r="G51" s="653">
        <f>IF(D51="Medium",'Biodiversity Impact Assessment'!$O72,"0.00")</f>
        <v>0.45714285714285713</v>
      </c>
      <c r="H51" s="653" t="str">
        <f>IF(D51="Medium-Low",'Biodiversity Impact Assessment'!$O72,"0.00")</f>
        <v>0.00</v>
      </c>
      <c r="I51" s="654" t="str">
        <f>IF(D51="Low",'Biodiversity Impact Assessment'!$O72,"0.00")</f>
        <v>0.00</v>
      </c>
    </row>
    <row r="52" spans="1:9" ht="12.75">
      <c r="A52" s="7"/>
      <c r="B52" s="439" t="str">
        <f>'Biodiversity Impact Assessment'!D73</f>
        <v>Grassland: Amenity grassland</v>
      </c>
      <c r="C52" s="407">
        <f>'Biodiversity Impact Assessment'!E73</f>
        <v>0.29</v>
      </c>
      <c r="D52" s="408" t="str">
        <f>'Biodiversity Impact Assessment'!F73</f>
        <v>Low</v>
      </c>
      <c r="E52" s="652" t="str">
        <f>IF(D52="High",'Biodiversity Impact Assessment'!$O73,"0.00")</f>
        <v>0.00</v>
      </c>
      <c r="F52" s="653" t="str">
        <f>IF(D52="Medium-High",'Biodiversity Impact Assessment'!$O73,"0.00")</f>
        <v>0.00</v>
      </c>
      <c r="G52" s="653" t="str">
        <f>IF(D52="Medium",'Biodiversity Impact Assessment'!$O73,"0.00")</f>
        <v>0.00</v>
      </c>
      <c r="H52" s="653" t="str">
        <f>IF(D52="Medium-Low",'Biodiversity Impact Assessment'!$O73,"0.00")</f>
        <v>0.00</v>
      </c>
      <c r="I52" s="654">
        <f>IF(D52="Low",'Biodiversity Impact Assessment'!$O73,"0.00")</f>
        <v>0.48333333333333334</v>
      </c>
    </row>
    <row r="53" spans="1:9" ht="12.75">
      <c r="A53" s="7"/>
      <c r="B53" s="439" t="str">
        <f>'Biodiversity Impact Assessment'!D74</f>
        <v>Woodland: Scattered trees</v>
      </c>
      <c r="C53" s="407">
        <f>'Biodiversity Impact Assessment'!E74</f>
        <v>0.07</v>
      </c>
      <c r="D53" s="408" t="str">
        <f>'Biodiversity Impact Assessment'!F74</f>
        <v>Medium</v>
      </c>
      <c r="E53" s="652" t="str">
        <f>IF(D53="High",'Biodiversity Impact Assessment'!$O74,"0.00")</f>
        <v>0.00</v>
      </c>
      <c r="F53" s="653" t="str">
        <f>IF(D53="Medium-High",'Biodiversity Impact Assessment'!$O74,"0.00")</f>
        <v>0.00</v>
      </c>
      <c r="G53" s="653">
        <f>IF(D53="Medium",'Biodiversity Impact Assessment'!$O74,"0.00")</f>
        <v>0.20000000000000004</v>
      </c>
      <c r="H53" s="653" t="str">
        <f>IF(D53="Medium-Low",'Biodiversity Impact Assessment'!$O74,"0.00")</f>
        <v>0.00</v>
      </c>
      <c r="I53" s="654" t="str">
        <f>IF(D53="Low",'Biodiversity Impact Assessment'!$O74,"0.00")</f>
        <v>0.00</v>
      </c>
    </row>
    <row r="54" spans="1:9" ht="12.75">
      <c r="A54" s="7"/>
      <c r="B54" s="439">
        <f>'Biodiversity Impact Assessment'!D75</f>
        <v>0</v>
      </c>
      <c r="C54" s="407">
        <f>'Biodiversity Impact Assessment'!E75</f>
        <v>0</v>
      </c>
      <c r="D54" s="408">
        <f>'Biodiversity Impact Assessment'!F75</f>
      </c>
      <c r="E54" s="652" t="str">
        <f>IF(D54="High",'Biodiversity Impact Assessment'!$O75,"0.00")</f>
        <v>0.00</v>
      </c>
      <c r="F54" s="653" t="str">
        <f>IF(D54="Medium-High",'Biodiversity Impact Assessment'!$O75,"0.00")</f>
        <v>0.00</v>
      </c>
      <c r="G54" s="653" t="str">
        <f>IF(D54="Medium",'Biodiversity Impact Assessment'!$O75,"0.00")</f>
        <v>0.00</v>
      </c>
      <c r="H54" s="653" t="str">
        <f>IF(D54="Medium-Low",'Biodiversity Impact Assessment'!$O75,"0.00")</f>
        <v>0.00</v>
      </c>
      <c r="I54" s="654" t="str">
        <f>IF(D54="Low",'Biodiversity Impact Assessment'!$O75,"0.00")</f>
        <v>0.00</v>
      </c>
    </row>
    <row r="55" spans="1:9" ht="12.75">
      <c r="A55" s="7"/>
      <c r="B55" s="439">
        <f>'Biodiversity Impact Assessment'!D76</f>
        <v>0</v>
      </c>
      <c r="C55" s="407">
        <f>'Biodiversity Impact Assessment'!E76</f>
        <v>0</v>
      </c>
      <c r="D55" s="408">
        <f>'Biodiversity Impact Assessment'!F76</f>
      </c>
      <c r="E55" s="652" t="str">
        <f>IF(D55="High",'Biodiversity Impact Assessment'!$O76,"0.00")</f>
        <v>0.00</v>
      </c>
      <c r="F55" s="653" t="str">
        <f>IF(D55="Medium-High",'Biodiversity Impact Assessment'!$O76,"0.00")</f>
        <v>0.00</v>
      </c>
      <c r="G55" s="653" t="str">
        <f>IF(D55="Medium",'Biodiversity Impact Assessment'!$O76,"0.00")</f>
        <v>0.00</v>
      </c>
      <c r="H55" s="653" t="str">
        <f>IF(D55="Medium-Low",'Biodiversity Impact Assessment'!$O76,"0.00")</f>
        <v>0.00</v>
      </c>
      <c r="I55" s="654" t="str">
        <f>IF(D55="Low",'Biodiversity Impact Assessment'!$O76,"0.00")</f>
        <v>0.00</v>
      </c>
    </row>
    <row r="56" spans="1:9" ht="12.75">
      <c r="A56" s="7"/>
      <c r="B56" s="439">
        <f>'Biodiversity Impact Assessment'!D77</f>
        <v>0</v>
      </c>
      <c r="C56" s="407">
        <f>'Biodiversity Impact Assessment'!E77</f>
        <v>0</v>
      </c>
      <c r="D56" s="408">
        <f>'Biodiversity Impact Assessment'!F77</f>
      </c>
      <c r="E56" s="652" t="str">
        <f>IF(D56="High",'Biodiversity Impact Assessment'!$O77,"0.00")</f>
        <v>0.00</v>
      </c>
      <c r="F56" s="653" t="str">
        <f>IF(D56="Medium-High",'Biodiversity Impact Assessment'!$O77,"0.00")</f>
        <v>0.00</v>
      </c>
      <c r="G56" s="653" t="str">
        <f>IF(D56="Medium",'Biodiversity Impact Assessment'!$O77,"0.00")</f>
        <v>0.00</v>
      </c>
      <c r="H56" s="653" t="str">
        <f>IF(D56="Medium-Low",'Biodiversity Impact Assessment'!$O77,"0.00")</f>
        <v>0.00</v>
      </c>
      <c r="I56" s="654" t="str">
        <f>IF(D56="Low",'Biodiversity Impact Assessment'!$O77,"0.00")</f>
        <v>0.00</v>
      </c>
    </row>
    <row r="57" spans="1:9" ht="12.75">
      <c r="A57" s="7"/>
      <c r="B57" s="439">
        <f>'Biodiversity Impact Assessment'!D78</f>
        <v>0</v>
      </c>
      <c r="C57" s="407">
        <f>'Biodiversity Impact Assessment'!E78</f>
        <v>0</v>
      </c>
      <c r="D57" s="408">
        <f>'Biodiversity Impact Assessment'!F78</f>
      </c>
      <c r="E57" s="652" t="str">
        <f>IF(D57="High",'Biodiversity Impact Assessment'!$O78,"0.00")</f>
        <v>0.00</v>
      </c>
      <c r="F57" s="653" t="str">
        <f>IF(D57="Medium-High",'Biodiversity Impact Assessment'!$O78,"0.00")</f>
        <v>0.00</v>
      </c>
      <c r="G57" s="653" t="str">
        <f>IF(D57="Medium",'Biodiversity Impact Assessment'!$O78,"0.00")</f>
        <v>0.00</v>
      </c>
      <c r="H57" s="653" t="str">
        <f>IF(D57="Medium-Low",'Biodiversity Impact Assessment'!$O78,"0.00")</f>
        <v>0.00</v>
      </c>
      <c r="I57" s="654" t="str">
        <f>IF(D57="Low",'Biodiversity Impact Assessment'!$O78,"0.00")</f>
        <v>0.00</v>
      </c>
    </row>
    <row r="58" spans="1:9" ht="12.75">
      <c r="A58" s="7"/>
      <c r="B58" s="439">
        <f>'Biodiversity Impact Assessment'!D79</f>
        <v>0</v>
      </c>
      <c r="C58" s="407">
        <f>'Biodiversity Impact Assessment'!E79</f>
        <v>0</v>
      </c>
      <c r="D58" s="408">
        <f>'Biodiversity Impact Assessment'!F79</f>
      </c>
      <c r="E58" s="652" t="str">
        <f>IF(D58="High",'Biodiversity Impact Assessment'!$O79,"0.00")</f>
        <v>0.00</v>
      </c>
      <c r="F58" s="653" t="str">
        <f>IF(D58="Medium-High",'Biodiversity Impact Assessment'!$O79,"0.00")</f>
        <v>0.00</v>
      </c>
      <c r="G58" s="653" t="str">
        <f>IF(D58="Medium",'Biodiversity Impact Assessment'!$O79,"0.00")</f>
        <v>0.00</v>
      </c>
      <c r="H58" s="653" t="str">
        <f>IF(D58="Medium-Low",'Biodiversity Impact Assessment'!$O79,"0.00")</f>
        <v>0.00</v>
      </c>
      <c r="I58" s="654" t="str">
        <f>IF(D58="Low",'Biodiversity Impact Assessment'!$O79,"0.00")</f>
        <v>0.00</v>
      </c>
    </row>
    <row r="59" spans="1:9" ht="12.75">
      <c r="A59" s="7"/>
      <c r="B59" s="439">
        <f>'Biodiversity Impact Assessment'!D80</f>
        <v>0</v>
      </c>
      <c r="C59" s="407">
        <f>'Biodiversity Impact Assessment'!E80</f>
        <v>0</v>
      </c>
      <c r="D59" s="408">
        <f>'Biodiversity Impact Assessment'!F80</f>
      </c>
      <c r="E59" s="652" t="str">
        <f>IF(D59="High",'Biodiversity Impact Assessment'!$O80,"0.00")</f>
        <v>0.00</v>
      </c>
      <c r="F59" s="653" t="str">
        <f>IF(D59="Medium-High",'Biodiversity Impact Assessment'!$O80,"0.00")</f>
        <v>0.00</v>
      </c>
      <c r="G59" s="653" t="str">
        <f>IF(D59="Medium",'Biodiversity Impact Assessment'!$O80,"0.00")</f>
        <v>0.00</v>
      </c>
      <c r="H59" s="653" t="str">
        <f>IF(D59="Medium-Low",'Biodiversity Impact Assessment'!$O80,"0.00")</f>
        <v>0.00</v>
      </c>
      <c r="I59" s="654" t="str">
        <f>IF(D59="Low",'Biodiversity Impact Assessment'!$O80,"0.00")</f>
        <v>0.00</v>
      </c>
    </row>
    <row r="60" spans="1:9" ht="13.5" thickBot="1">
      <c r="A60" s="7"/>
      <c r="B60" s="440">
        <f>'Biodiversity Impact Assessment'!D81</f>
        <v>0</v>
      </c>
      <c r="C60" s="409">
        <f>'Biodiversity Impact Assessment'!E81</f>
        <v>0</v>
      </c>
      <c r="D60" s="410">
        <f>'Biodiversity Impact Assessment'!F81</f>
      </c>
      <c r="E60" s="652" t="str">
        <f>IF(D60="High",'Biodiversity Impact Assessment'!$O81,"0.00")</f>
        <v>0.00</v>
      </c>
      <c r="F60" s="653" t="str">
        <f>IF(D60="Medium-High",'Biodiversity Impact Assessment'!$O81,"0.00")</f>
        <v>0.00</v>
      </c>
      <c r="G60" s="653" t="str">
        <f>IF(D60="Medium",'Biodiversity Impact Assessment'!$O81,"0.00")</f>
        <v>0.00</v>
      </c>
      <c r="H60" s="653" t="str">
        <f>IF(D60="Medium-Low",'Biodiversity Impact Assessment'!$O81,"0.00")</f>
        <v>0.00</v>
      </c>
      <c r="I60" s="654" t="str">
        <f>IF(D60="Low",'Biodiversity Impact Assessment'!$O81,"0.00")</f>
        <v>0.00</v>
      </c>
    </row>
    <row r="61" spans="1:9" ht="13.5" thickBot="1">
      <c r="A61" s="7"/>
      <c r="B61" s="23" t="s">
        <v>321</v>
      </c>
      <c r="C61" s="24" t="s">
        <v>230</v>
      </c>
      <c r="D61" s="28" t="s">
        <v>0</v>
      </c>
      <c r="E61" s="628" t="s">
        <v>52</v>
      </c>
      <c r="F61" s="629" t="s">
        <v>307</v>
      </c>
      <c r="G61" s="629" t="s">
        <v>76</v>
      </c>
      <c r="H61" s="630" t="s">
        <v>306</v>
      </c>
      <c r="I61" s="631" t="s">
        <v>54</v>
      </c>
    </row>
    <row r="62" spans="1:9" ht="12.75">
      <c r="A62" s="7"/>
      <c r="B62" s="438">
        <f>'Biodiversity Impact Assessment'!D84</f>
        <v>0</v>
      </c>
      <c r="C62" s="405">
        <f>'Biodiversity Impact Assessment'!E84</f>
        <v>0</v>
      </c>
      <c r="D62" s="406">
        <f>'Biodiversity Impact Assessment'!F84</f>
      </c>
      <c r="E62" s="655" t="str">
        <f>IF(D62="High",'Biodiversity Impact Assessment'!$O84,"0.00")</f>
        <v>0.00</v>
      </c>
      <c r="F62" s="421" t="str">
        <f>IF(D62="Medium-High",'Biodiversity Impact Assessment'!$O84,"0.00")</f>
        <v>0.00</v>
      </c>
      <c r="G62" s="421" t="str">
        <f>IF(D62="Medium",'Biodiversity Impact Assessment'!$O84,"0.00")</f>
        <v>0.00</v>
      </c>
      <c r="H62" s="421" t="str">
        <f>IF(D62="Medium-Low",'Biodiversity Impact Assessment'!$O84,"0.00")</f>
        <v>0.00</v>
      </c>
      <c r="I62" s="422" t="str">
        <f>IF(D62="Low",'Biodiversity Impact Assessment'!$O84,"0.00")</f>
        <v>0.00</v>
      </c>
    </row>
    <row r="63" spans="1:9" ht="12.75">
      <c r="A63" s="7"/>
      <c r="B63" s="439" t="str">
        <f>'Biodiversity Impact Assessment'!D85</f>
        <v>Grassland: Semi-improved neutral grassland</v>
      </c>
      <c r="C63" s="407">
        <f>'Biodiversity Impact Assessment'!E85</f>
        <v>0.46</v>
      </c>
      <c r="D63" s="408" t="str">
        <f>'Biodiversity Impact Assessment'!F85</f>
        <v>Medium</v>
      </c>
      <c r="E63" s="656" t="str">
        <f>IF(D63="High",'Biodiversity Impact Assessment'!$O85,"0.00")</f>
        <v>0.00</v>
      </c>
      <c r="F63" s="423" t="str">
        <f>IF(D63="Medium-High",'Biodiversity Impact Assessment'!$O85,"0.00")</f>
        <v>0.00</v>
      </c>
      <c r="G63" s="423">
        <f>IF(D63="Medium",'Biodiversity Impact Assessment'!$O85,"0.00")</f>
        <v>1.6428571428571432</v>
      </c>
      <c r="H63" s="423" t="str">
        <f>IF(D63="Medium-Low",'Biodiversity Impact Assessment'!$O85,"0.00")</f>
        <v>0.00</v>
      </c>
      <c r="I63" s="424" t="str">
        <f>IF(D63="Low",'Biodiversity Impact Assessment'!$O85,"0.00")</f>
        <v>0.00</v>
      </c>
    </row>
    <row r="64" spans="1:9" ht="12.75">
      <c r="A64" s="7"/>
      <c r="B64" s="439" t="str">
        <f>'Biodiversity Impact Assessment'!D86</f>
        <v>Grassland: Semi-improved neutral grassland</v>
      </c>
      <c r="C64" s="407">
        <f>'Biodiversity Impact Assessment'!E86</f>
        <v>0.7</v>
      </c>
      <c r="D64" s="408" t="str">
        <f>'Biodiversity Impact Assessment'!F86</f>
        <v>Medium</v>
      </c>
      <c r="E64" s="656" t="str">
        <f>IF(D64="High",'Biodiversity Impact Assessment'!$O86,"0.00")</f>
        <v>0.00</v>
      </c>
      <c r="F64" s="423" t="str">
        <f>IF(D64="Medium-High",'Biodiversity Impact Assessment'!$O86,"0.00")</f>
        <v>0.00</v>
      </c>
      <c r="G64" s="423">
        <f>IF(D64="Medium",'Biodiversity Impact Assessment'!$O86,"0.00")</f>
        <v>4.499999999999999</v>
      </c>
      <c r="H64" s="423" t="str">
        <f>IF(D64="Medium-Low",'Biodiversity Impact Assessment'!$O86,"0.00")</f>
        <v>0.00</v>
      </c>
      <c r="I64" s="424" t="str">
        <f>IF(D64="Low",'Biodiversity Impact Assessment'!$O86,"0.00")</f>
        <v>0.00</v>
      </c>
    </row>
    <row r="65" spans="1:9" ht="12.75">
      <c r="A65" s="7"/>
      <c r="B65" s="439">
        <f>'Biodiversity Impact Assessment'!D87</f>
        <v>0</v>
      </c>
      <c r="C65" s="407">
        <f>'Biodiversity Impact Assessment'!E87</f>
        <v>0</v>
      </c>
      <c r="D65" s="408">
        <f>'Biodiversity Impact Assessment'!F87</f>
      </c>
      <c r="E65" s="656" t="str">
        <f>IF(D65="High",'Biodiversity Impact Assessment'!$O87,"0.00")</f>
        <v>0.00</v>
      </c>
      <c r="F65" s="423" t="str">
        <f>IF(D65="Medium-High",'Biodiversity Impact Assessment'!$O87,"0.00")</f>
        <v>0.00</v>
      </c>
      <c r="G65" s="423" t="str">
        <f>IF(D65="Medium",'Biodiversity Impact Assessment'!$O87,"0.00")</f>
        <v>0.00</v>
      </c>
      <c r="H65" s="423" t="str">
        <f>IF(D65="Medium-Low",'Biodiversity Impact Assessment'!$O87,"0.00")</f>
        <v>0.00</v>
      </c>
      <c r="I65" s="424" t="str">
        <f>IF(D65="Low",'Biodiversity Impact Assessment'!$O87,"0.00")</f>
        <v>0.00</v>
      </c>
    </row>
    <row r="66" spans="1:9" ht="12.75">
      <c r="A66" s="7"/>
      <c r="B66" s="439">
        <f>'Biodiversity Impact Assessment'!D88</f>
        <v>0</v>
      </c>
      <c r="C66" s="407">
        <f>'Biodiversity Impact Assessment'!E88</f>
        <v>0</v>
      </c>
      <c r="D66" s="408">
        <f>'Biodiversity Impact Assessment'!F88</f>
      </c>
      <c r="E66" s="656" t="str">
        <f>IF(D66="High",'Biodiversity Impact Assessment'!$O88,"0.00")</f>
        <v>0.00</v>
      </c>
      <c r="F66" s="423" t="str">
        <f>IF(D66="Medium-High",'Biodiversity Impact Assessment'!$O88,"0.00")</f>
        <v>0.00</v>
      </c>
      <c r="G66" s="423" t="str">
        <f>IF(D66="Medium",'Biodiversity Impact Assessment'!$O88,"0.00")</f>
        <v>0.00</v>
      </c>
      <c r="H66" s="423" t="str">
        <f>IF(D66="Medium-Low",'Biodiversity Impact Assessment'!$O88,"0.00")</f>
        <v>0.00</v>
      </c>
      <c r="I66" s="424" t="str">
        <f>IF(D66="Low",'Biodiversity Impact Assessment'!$O88,"0.00")</f>
        <v>0.00</v>
      </c>
    </row>
    <row r="67" spans="1:9" ht="12.75">
      <c r="A67" s="7"/>
      <c r="B67" s="439">
        <f>'Biodiversity Impact Assessment'!D89</f>
        <v>0</v>
      </c>
      <c r="C67" s="407">
        <f>'Biodiversity Impact Assessment'!E89</f>
        <v>0</v>
      </c>
      <c r="D67" s="408">
        <f>'Biodiversity Impact Assessment'!F89</f>
      </c>
      <c r="E67" s="656" t="str">
        <f>IF(D67="High",'Biodiversity Impact Assessment'!$O89,"0.00")</f>
        <v>0.00</v>
      </c>
      <c r="F67" s="423" t="str">
        <f>IF(D67="Medium-High",'Biodiversity Impact Assessment'!$O89,"0.00")</f>
        <v>0.00</v>
      </c>
      <c r="G67" s="423" t="str">
        <f>IF(D67="Medium",'Biodiversity Impact Assessment'!$O89,"0.00")</f>
        <v>0.00</v>
      </c>
      <c r="H67" s="423" t="str">
        <f>IF(D67="Medium-Low",'Biodiversity Impact Assessment'!$O89,"0.00")</f>
        <v>0.00</v>
      </c>
      <c r="I67" s="424" t="str">
        <f>IF(D67="Low",'Biodiversity Impact Assessment'!$O89,"0.00")</f>
        <v>0.00</v>
      </c>
    </row>
    <row r="68" spans="1:9" ht="12.75">
      <c r="A68" s="7"/>
      <c r="B68" s="439">
        <f>'Biodiversity Impact Assessment'!D90</f>
        <v>0</v>
      </c>
      <c r="C68" s="407">
        <f>'Biodiversity Impact Assessment'!E90</f>
        <v>0</v>
      </c>
      <c r="D68" s="408">
        <f>'Biodiversity Impact Assessment'!F90</f>
      </c>
      <c r="E68" s="656" t="str">
        <f>IF(D68="High",'Biodiversity Impact Assessment'!$O90,"0.00")</f>
        <v>0.00</v>
      </c>
      <c r="F68" s="423" t="str">
        <f>IF(D68="Medium-High",'Biodiversity Impact Assessment'!$O90,"0.00")</f>
        <v>0.00</v>
      </c>
      <c r="G68" s="423" t="str">
        <f>IF(D68="Medium",'Biodiversity Impact Assessment'!$O90,"0.00")</f>
        <v>0.00</v>
      </c>
      <c r="H68" s="423" t="str">
        <f>IF(D68="Medium-Low",'Biodiversity Impact Assessment'!$O90,"0.00")</f>
        <v>0.00</v>
      </c>
      <c r="I68" s="424" t="str">
        <f>IF(D68="Low",'Biodiversity Impact Assessment'!$O90,"0.00")</f>
        <v>0.00</v>
      </c>
    </row>
    <row r="69" spans="1:9" ht="12.75">
      <c r="A69" s="7"/>
      <c r="B69" s="439">
        <f>'Biodiversity Impact Assessment'!D91</f>
        <v>0</v>
      </c>
      <c r="C69" s="407">
        <f>'Biodiversity Impact Assessment'!E91</f>
        <v>0</v>
      </c>
      <c r="D69" s="408">
        <f>'Biodiversity Impact Assessment'!F91</f>
      </c>
      <c r="E69" s="656" t="str">
        <f>IF(D69="High",'Biodiversity Impact Assessment'!$O91,"0.00")</f>
        <v>0.00</v>
      </c>
      <c r="F69" s="423" t="str">
        <f>IF(D69="Medium-High",'Biodiversity Impact Assessment'!$O91,"0.00")</f>
        <v>0.00</v>
      </c>
      <c r="G69" s="423" t="str">
        <f>IF(D69="Medium",'Biodiversity Impact Assessment'!$O91,"0.00")</f>
        <v>0.00</v>
      </c>
      <c r="H69" s="423" t="str">
        <f>IF(D69="Medium-Low",'Biodiversity Impact Assessment'!$O91,"0.00")</f>
        <v>0.00</v>
      </c>
      <c r="I69" s="424" t="str">
        <f>IF(D69="Low",'Biodiversity Impact Assessment'!$O91,"0.00")</f>
        <v>0.00</v>
      </c>
    </row>
    <row r="70" spans="1:9" ht="12.75">
      <c r="A70" s="7"/>
      <c r="B70" s="439">
        <f>'Biodiversity Impact Assessment'!D92</f>
        <v>0</v>
      </c>
      <c r="C70" s="407">
        <f>'Biodiversity Impact Assessment'!E92</f>
        <v>0</v>
      </c>
      <c r="D70" s="408">
        <f>'Biodiversity Impact Assessment'!F92</f>
      </c>
      <c r="E70" s="656" t="str">
        <f>IF(D70="High",'Biodiversity Impact Assessment'!$O92,"0.00")</f>
        <v>0.00</v>
      </c>
      <c r="F70" s="423" t="str">
        <f>IF(D70="Medium-High",'Biodiversity Impact Assessment'!$O92,"0.00")</f>
        <v>0.00</v>
      </c>
      <c r="G70" s="423" t="str">
        <f>IF(D70="Medium",'Biodiversity Impact Assessment'!$O92,"0.00")</f>
        <v>0.00</v>
      </c>
      <c r="H70" s="423" t="str">
        <f>IF(D70="Medium-Low",'Biodiversity Impact Assessment'!$O92,"0.00")</f>
        <v>0.00</v>
      </c>
      <c r="I70" s="424" t="str">
        <f>IF(D70="Low",'Biodiversity Impact Assessment'!$O92,"0.00")</f>
        <v>0.00</v>
      </c>
    </row>
    <row r="71" spans="1:9" ht="12.75">
      <c r="A71" s="7"/>
      <c r="B71" s="439">
        <f>'Biodiversity Impact Assessment'!D93</f>
        <v>0</v>
      </c>
      <c r="C71" s="407">
        <f>'Biodiversity Impact Assessment'!E93</f>
        <v>0</v>
      </c>
      <c r="D71" s="408">
        <f>'Biodiversity Impact Assessment'!F93</f>
      </c>
      <c r="E71" s="656" t="str">
        <f>IF(D71="High",'Biodiversity Impact Assessment'!$O93,"0.00")</f>
        <v>0.00</v>
      </c>
      <c r="F71" s="423" t="str">
        <f>IF(D71="Medium-High",'Biodiversity Impact Assessment'!$O93,"0.00")</f>
        <v>0.00</v>
      </c>
      <c r="G71" s="423" t="str">
        <f>IF(D71="Medium",'Biodiversity Impact Assessment'!$O93,"0.00")</f>
        <v>0.00</v>
      </c>
      <c r="H71" s="423" t="str">
        <f>IF(D71="Medium-Low",'Biodiversity Impact Assessment'!$O93,"0.00")</f>
        <v>0.00</v>
      </c>
      <c r="I71" s="424" t="str">
        <f>IF(D71="Low",'Biodiversity Impact Assessment'!$O93,"0.00")</f>
        <v>0.00</v>
      </c>
    </row>
    <row r="72" spans="1:9" ht="12.75">
      <c r="A72" s="7"/>
      <c r="B72" s="439">
        <f>'Biodiversity Impact Assessment'!D94</f>
        <v>0</v>
      </c>
      <c r="C72" s="407">
        <f>'Biodiversity Impact Assessment'!E94</f>
        <v>0</v>
      </c>
      <c r="D72" s="408">
        <f>'Biodiversity Impact Assessment'!F94</f>
      </c>
      <c r="E72" s="656" t="str">
        <f>IF(D72="High",'Biodiversity Impact Assessment'!$O94,"0.00")</f>
        <v>0.00</v>
      </c>
      <c r="F72" s="423" t="str">
        <f>IF(D72="Medium-High",'Biodiversity Impact Assessment'!$O94,"0.00")</f>
        <v>0.00</v>
      </c>
      <c r="G72" s="423" t="str">
        <f>IF(D72="Medium",'Biodiversity Impact Assessment'!$O94,"0.00")</f>
        <v>0.00</v>
      </c>
      <c r="H72" s="423" t="str">
        <f>IF(D72="Medium-Low",'Biodiversity Impact Assessment'!$O94,"0.00")</f>
        <v>0.00</v>
      </c>
      <c r="I72" s="424" t="str">
        <f>IF(D72="Low",'Biodiversity Impact Assessment'!$O94,"0.00")</f>
        <v>0.00</v>
      </c>
    </row>
    <row r="73" spans="1:10" ht="12.75" customHeight="1">
      <c r="A73" s="7"/>
      <c r="B73" s="439">
        <f>'Biodiversity Impact Assessment'!D95</f>
        <v>0</v>
      </c>
      <c r="C73" s="407">
        <f>'Biodiversity Impact Assessment'!E95</f>
        <v>0</v>
      </c>
      <c r="D73" s="408">
        <f>'Biodiversity Impact Assessment'!F95</f>
      </c>
      <c r="E73" s="656" t="str">
        <f>IF(D73="High",'Biodiversity Impact Assessment'!$O95,"0.00")</f>
        <v>0.00</v>
      </c>
      <c r="F73" s="423" t="str">
        <f>IF(D73="Medium-High",'Biodiversity Impact Assessment'!$O95,"0.00")</f>
        <v>0.00</v>
      </c>
      <c r="G73" s="423" t="str">
        <f>IF(D73="Medium",'Biodiversity Impact Assessment'!$O95,"0.00")</f>
        <v>0.00</v>
      </c>
      <c r="H73" s="423" t="str">
        <f>IF(D73="Medium-Low",'Biodiversity Impact Assessment'!$O95,"0.00")</f>
        <v>0.00</v>
      </c>
      <c r="I73" s="424" t="str">
        <f>IF(D73="Low",'Biodiversity Impact Assessment'!$O95,"0.00")</f>
        <v>0.00</v>
      </c>
      <c r="J73" s="13"/>
    </row>
    <row r="74" spans="1:10" ht="12.75">
      <c r="A74" s="7"/>
      <c r="B74" s="439">
        <f>'Biodiversity Impact Assessment'!D96</f>
        <v>0</v>
      </c>
      <c r="C74" s="407">
        <f>'Biodiversity Impact Assessment'!E96</f>
        <v>0</v>
      </c>
      <c r="D74" s="408">
        <f>'Biodiversity Impact Assessment'!F96</f>
      </c>
      <c r="E74" s="656" t="str">
        <f>IF(D74="High",'Biodiversity Impact Assessment'!$O96,"0.00")</f>
        <v>0.00</v>
      </c>
      <c r="F74" s="423" t="str">
        <f>IF(D74="Medium-High",'Biodiversity Impact Assessment'!$O96,"0.00")</f>
        <v>0.00</v>
      </c>
      <c r="G74" s="423" t="str">
        <f>IF(D74="Medium",'Biodiversity Impact Assessment'!$O96,"0.00")</f>
        <v>0.00</v>
      </c>
      <c r="H74" s="423" t="str">
        <f>IF(D74="Medium-Low",'Biodiversity Impact Assessment'!$O96,"0.00")</f>
        <v>0.00</v>
      </c>
      <c r="I74" s="424" t="str">
        <f>IF(D74="Low",'Biodiversity Impact Assessment'!$O96,"0.00")</f>
        <v>0.00</v>
      </c>
      <c r="J74" s="13"/>
    </row>
    <row r="75" spans="1:9" ht="12.75">
      <c r="A75" s="7"/>
      <c r="B75" s="439">
        <f>'Biodiversity Impact Assessment'!D97</f>
        <v>0</v>
      </c>
      <c r="C75" s="407">
        <f>'Biodiversity Impact Assessment'!E97</f>
        <v>0</v>
      </c>
      <c r="D75" s="408">
        <f>'Biodiversity Impact Assessment'!F97</f>
      </c>
      <c r="E75" s="656" t="str">
        <f>IF(D75="High",'Biodiversity Impact Assessment'!$O97,"0.00")</f>
        <v>0.00</v>
      </c>
      <c r="F75" s="423" t="str">
        <f>IF(D75="Medium-High",'Biodiversity Impact Assessment'!$O97,"0.00")</f>
        <v>0.00</v>
      </c>
      <c r="G75" s="423" t="str">
        <f>IF(D75="Medium",'Biodiversity Impact Assessment'!$O97,"0.00")</f>
        <v>0.00</v>
      </c>
      <c r="H75" s="423" t="str">
        <f>IF(D75="Medium-Low",'Biodiversity Impact Assessment'!$O97,"0.00")</f>
        <v>0.00</v>
      </c>
      <c r="I75" s="424" t="str">
        <f>IF(D75="Low",'Biodiversity Impact Assessment'!$O97,"0.00")</f>
        <v>0.00</v>
      </c>
    </row>
    <row r="76" spans="2:9" s="7" customFormat="1" ht="13.5" thickBot="1">
      <c r="B76" s="440">
        <f>'Biodiversity Impact Assessment'!D98</f>
        <v>0</v>
      </c>
      <c r="C76" s="409">
        <f>'Biodiversity Impact Assessment'!E98</f>
        <v>0</v>
      </c>
      <c r="D76" s="410">
        <f>'Biodiversity Impact Assessment'!F98</f>
      </c>
      <c r="E76" s="657" t="str">
        <f>IF(D76="High",'Biodiversity Impact Assessment'!$O98,"0.00")</f>
        <v>0.00</v>
      </c>
      <c r="F76" s="658" t="str">
        <f>IF(D76="Medium-High",'Biodiversity Impact Assessment'!$O98,"0.00")</f>
        <v>0.00</v>
      </c>
      <c r="G76" s="658" t="str">
        <f>IF(D76="Medium",'Biodiversity Impact Assessment'!$O98,"0.00")</f>
        <v>0.00</v>
      </c>
      <c r="H76" s="658" t="str">
        <f>IF(D76="Medium-Low",'Biodiversity Impact Assessment'!$O98,"0.00")</f>
        <v>0.00</v>
      </c>
      <c r="I76" s="659" t="str">
        <f>IF(D76="Low",'Biodiversity Impact Assessment'!$O98,"0.00")</f>
        <v>0.00</v>
      </c>
    </row>
    <row r="77" spans="2:9" s="7" customFormat="1" ht="13.5" thickBot="1">
      <c r="B77" s="20" t="s">
        <v>219</v>
      </c>
      <c r="C77" s="21">
        <f>SUM(C46:C76)</f>
        <v>4</v>
      </c>
      <c r="D77" s="26"/>
      <c r="E77" s="425">
        <f>SUM(E46:E76)</f>
        <v>0</v>
      </c>
      <c r="F77" s="426">
        <f>SUM(F46:F76)</f>
        <v>0</v>
      </c>
      <c r="G77" s="426">
        <f>SUM(G46:G76)</f>
        <v>6.799999999999999</v>
      </c>
      <c r="H77" s="426">
        <f>SUM(H46:H76)</f>
        <v>0</v>
      </c>
      <c r="I77" s="427">
        <f>SUM(I46:I76)</f>
        <v>1.2166666666666668</v>
      </c>
    </row>
    <row r="78" s="7" customFormat="1" ht="12.75"/>
    <row r="79" s="7" customFormat="1" ht="13.5" thickBot="1"/>
    <row r="80" spans="2:9" s="7" customFormat="1" ht="13.5" thickBot="1">
      <c r="B80" s="11" t="s">
        <v>222</v>
      </c>
      <c r="E80" s="35" t="s">
        <v>52</v>
      </c>
      <c r="F80" s="644" t="s">
        <v>307</v>
      </c>
      <c r="G80" s="36" t="s">
        <v>76</v>
      </c>
      <c r="H80" s="645" t="s">
        <v>306</v>
      </c>
      <c r="I80" s="37" t="s">
        <v>54</v>
      </c>
    </row>
    <row r="81" spans="2:9" s="7" customFormat="1" ht="12.75">
      <c r="B81" s="816" t="s">
        <v>223</v>
      </c>
      <c r="C81" s="817"/>
      <c r="D81" s="817"/>
      <c r="E81" s="416">
        <f>E42</f>
        <v>0</v>
      </c>
      <c r="F81" s="399">
        <f>F42</f>
        <v>0</v>
      </c>
      <c r="G81" s="399">
        <f>G42</f>
        <v>1.12</v>
      </c>
      <c r="H81" s="399">
        <f>H42</f>
        <v>6.3900000000000015</v>
      </c>
      <c r="I81" s="417">
        <f>I42</f>
        <v>0.9199999999999999</v>
      </c>
    </row>
    <row r="82" spans="2:9" s="7" customFormat="1" ht="13.5" thickBot="1">
      <c r="B82" s="818" t="s">
        <v>224</v>
      </c>
      <c r="C82" s="819"/>
      <c r="D82" s="819"/>
      <c r="E82" s="418">
        <f>E77</f>
        <v>0</v>
      </c>
      <c r="F82" s="419">
        <f>F77</f>
        <v>0</v>
      </c>
      <c r="G82" s="419">
        <f>G77</f>
        <v>6.799999999999999</v>
      </c>
      <c r="H82" s="419">
        <f>H77</f>
        <v>0</v>
      </c>
      <c r="I82" s="420">
        <f>I77</f>
        <v>1.2166666666666668</v>
      </c>
    </row>
    <row r="83" spans="2:10" s="7" customFormat="1" ht="13.5" thickBot="1">
      <c r="B83" s="820" t="s">
        <v>272</v>
      </c>
      <c r="C83" s="821"/>
      <c r="D83" s="821"/>
      <c r="E83" s="32" t="s">
        <v>270</v>
      </c>
      <c r="F83" s="33" t="str">
        <f>IF((E81&gt;E82)*AND(F82&gt;F81),"Yes","No")</f>
        <v>No</v>
      </c>
      <c r="G83" s="33" t="str">
        <f>IF((E84+F84&gt;0)*AND(G82&gt;G81),"Yes","No")</f>
        <v>No</v>
      </c>
      <c r="H83" s="616" t="str">
        <f>IF((E84+F84+G84&gt;0)*AND(H82&gt;H81),"Yes","No")</f>
        <v>No</v>
      </c>
      <c r="I83" s="34" t="str">
        <f>IF(I81&lt;I82,"Yes","No")</f>
        <v>Yes</v>
      </c>
      <c r="J83" s="4"/>
    </row>
    <row r="84" spans="1:10" s="7" customFormat="1" ht="13.5" thickBot="1">
      <c r="A84" s="17"/>
      <c r="B84" s="810" t="s">
        <v>273</v>
      </c>
      <c r="C84" s="811"/>
      <c r="D84" s="811"/>
      <c r="E84" s="411" t="str">
        <f>IF(E82&lt;E81,E81-E82,"0")</f>
        <v>0</v>
      </c>
      <c r="F84" s="477" t="str">
        <f>IF((E85+F82)&lt;F81,F81-F82-E85,"0")</f>
        <v>0</v>
      </c>
      <c r="G84" s="477" t="str">
        <f>IF((F85+G82)&lt;G81,G81-G82-F85,"0")</f>
        <v>0</v>
      </c>
      <c r="H84" s="617">
        <f>IF((G85+H82)&lt;H81,H81-H82-G85,"0")</f>
        <v>0.7100000000000026</v>
      </c>
      <c r="I84" s="412" t="str">
        <f>IF(I83="No",I81-I82,"0")</f>
        <v>0</v>
      </c>
      <c r="J84" s="13"/>
    </row>
    <row r="85" spans="1:10" s="7" customFormat="1" ht="13.5" thickBot="1">
      <c r="A85" s="17"/>
      <c r="B85" s="812" t="s">
        <v>271</v>
      </c>
      <c r="C85" s="813"/>
      <c r="D85" s="813"/>
      <c r="E85" s="413" t="str">
        <f>IF(E82&gt;E81,E82-E81,"0")</f>
        <v>0</v>
      </c>
      <c r="F85" s="478" t="str">
        <f>IF((E85+F82-F81-E84)&gt;0,E85+F82-F81-E84,"0")</f>
        <v>0</v>
      </c>
      <c r="G85" s="478">
        <f>IF((F85+G82-G81-F84-E84)&gt;0,F85+G82-G81-F84-E84,"0")</f>
        <v>5.679999999999999</v>
      </c>
      <c r="H85" s="618" t="str">
        <f>IF((G85+H82-H81-G84-F84-E84)&gt;0,G85+H82-H81-G84-F84-E84,"0")</f>
        <v>0</v>
      </c>
      <c r="I85" s="414" t="s">
        <v>112</v>
      </c>
      <c r="J85" s="40" t="s">
        <v>111</v>
      </c>
    </row>
    <row r="86" spans="2:10" s="7" customFormat="1" ht="13.5" thickBot="1">
      <c r="B86" s="812" t="s">
        <v>213</v>
      </c>
      <c r="C86" s="822"/>
      <c r="D86" s="822"/>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f>IF(I83="Yes",I81-I82,"0")</f>
        <v>-0.29666666666666686</v>
      </c>
      <c r="J86" s="437">
        <f>SUM(F86:I86)</f>
        <v>-0.29666666666666686</v>
      </c>
    </row>
    <row r="87" spans="8:9" s="7" customFormat="1" ht="12.75">
      <c r="H87" s="18"/>
      <c r="I87" s="3"/>
    </row>
    <row r="88" spans="8:9" s="7" customFormat="1" ht="12.75">
      <c r="H88" s="15"/>
      <c r="I88" s="3"/>
    </row>
    <row r="89" spans="2:10" s="7" customFormat="1" ht="41.25" customHeight="1">
      <c r="B89" s="808" t="s">
        <v>325</v>
      </c>
      <c r="C89" s="808"/>
      <c r="D89" s="808"/>
      <c r="E89" s="808"/>
      <c r="F89" s="808"/>
      <c r="G89" s="808"/>
      <c r="H89" s="808"/>
      <c r="I89" s="808"/>
      <c r="J89" s="13"/>
    </row>
    <row r="90" spans="2:7" s="7" customFormat="1" ht="12.75">
      <c r="B90" s="38"/>
      <c r="C90" s="39"/>
      <c r="D90" s="39"/>
      <c r="E90" s="39"/>
      <c r="F90" s="39"/>
      <c r="G90" s="39"/>
    </row>
    <row r="91" spans="2:7" s="7" customFormat="1" ht="26.25" customHeight="1">
      <c r="B91" s="814" t="s">
        <v>231</v>
      </c>
      <c r="C91" s="814"/>
      <c r="D91" s="814"/>
      <c r="E91" s="814"/>
      <c r="F91" s="814"/>
      <c r="G91" s="814"/>
    </row>
    <row r="92" spans="2:7" s="7" customFormat="1" ht="12.75">
      <c r="B92" s="809" t="s">
        <v>232</v>
      </c>
      <c r="C92" s="809"/>
      <c r="D92" s="809"/>
      <c r="E92" s="809"/>
      <c r="F92" s="809"/>
      <c r="G92" s="809"/>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79">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15" t="s">
        <v>299</v>
      </c>
      <c r="C2" s="815"/>
      <c r="D2" s="815"/>
      <c r="E2" s="815"/>
      <c r="F2" s="815"/>
      <c r="G2" s="815"/>
      <c r="H2" s="815"/>
      <c r="I2" s="815"/>
    </row>
    <row r="3" spans="1:9" ht="13.5" thickBot="1">
      <c r="A3" s="7"/>
      <c r="B3" s="11" t="s">
        <v>214</v>
      </c>
      <c r="C3" s="7"/>
      <c r="D3" s="7"/>
      <c r="E3" s="7"/>
      <c r="F3" s="7"/>
      <c r="G3" s="7"/>
      <c r="H3" s="7"/>
      <c r="I3" s="7"/>
    </row>
    <row r="4" spans="1:9" ht="51.7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7"/>
      <c r="F5" s="16"/>
      <c r="G5" s="16"/>
      <c r="H5" s="27"/>
      <c r="I5" s="398"/>
    </row>
    <row r="6" spans="1:9" ht="12.75">
      <c r="A6" s="7"/>
      <c r="B6" s="443">
        <f>'Linear Impact Assessment'!D15</f>
        <v>0</v>
      </c>
      <c r="C6" s="449">
        <f>'Linear Impact Assessment'!N15</f>
      </c>
      <c r="D6" s="450">
        <f>'Linear Impact Assessment'!F15</f>
      </c>
      <c r="E6" s="455" t="str">
        <f>IF(D6="High",'Linear Impact Assessment'!O15,"0.00")</f>
        <v>0.00</v>
      </c>
      <c r="F6" s="456" t="str">
        <f>IF(D6="Medium-High",'Linear Impact Assessment'!O15,"0.00")</f>
        <v>0.00</v>
      </c>
      <c r="G6" s="456" t="str">
        <f>IF(D6="Medium",'Linear Impact Assessment'!O15,"0.00")</f>
        <v>0.00</v>
      </c>
      <c r="H6" s="456" t="str">
        <f>IF(D6="Medium-Low",'Linear Impact Assessment'!O15,"0.00")</f>
        <v>0.00</v>
      </c>
      <c r="I6" s="457" t="str">
        <f>IF(D6="Low",'Linear Impact Assessment'!O15,"0.00")</f>
        <v>0.00</v>
      </c>
    </row>
    <row r="7" spans="1:9" ht="12.75">
      <c r="A7" s="7"/>
      <c r="B7" s="442" t="str">
        <f>'Linear Impact Assessment'!D16</f>
        <v>Hedges: Hedge with trees</v>
      </c>
      <c r="C7" s="451">
        <f>'Linear Impact Assessment'!N16</f>
      </c>
      <c r="D7" s="452" t="str">
        <f>'Linear Impact Assessment'!F16</f>
        <v>Medium-High</v>
      </c>
      <c r="E7" s="458" t="str">
        <f>IF(D7="High",'Linear Impact Assessment'!O16,"0.00")</f>
        <v>0.00</v>
      </c>
      <c r="F7" s="459">
        <f>IF(D7="Medium-High",'Linear Impact Assessment'!O16,"0.00")</f>
      </c>
      <c r="G7" s="459" t="str">
        <f>IF(D7="Medium",'Linear Impact Assessment'!O16,"0.00")</f>
        <v>0.00</v>
      </c>
      <c r="H7" s="459" t="str">
        <f>IF(D7="Medium-Low",'Linear Impact Assessment'!O16,"0.00")</f>
        <v>0.00</v>
      </c>
      <c r="I7" s="460" t="str">
        <f>IF(D7="Low",'Linear Impact Assessment'!O16,"0.00")</f>
        <v>0.00</v>
      </c>
    </row>
    <row r="8" spans="1:9" ht="12.75">
      <c r="A8" s="7"/>
      <c r="B8" s="442">
        <f>'Linear Impact Assessment'!D17</f>
        <v>0</v>
      </c>
      <c r="C8" s="451">
        <f>'Linear Impact Assessment'!N17</f>
      </c>
      <c r="D8" s="452">
        <f>'Linear Impact Assessment'!F17</f>
      </c>
      <c r="E8" s="458" t="str">
        <f>IF(D8="High",'Linear Impact Assessment'!O17,"0.00")</f>
        <v>0.00</v>
      </c>
      <c r="F8" s="459" t="str">
        <f>IF(D8="Medium-High",'Linear Impact Assessment'!O17,"0.00")</f>
        <v>0.00</v>
      </c>
      <c r="G8" s="459" t="str">
        <f>IF(D8="Medium",'Linear Impact Assessment'!O17,"0.00")</f>
        <v>0.00</v>
      </c>
      <c r="H8" s="459" t="str">
        <f>IF(D8="Medium-Low",'Linear Impact Assessment'!O17,"0.00")</f>
        <v>0.00</v>
      </c>
      <c r="I8" s="460" t="str">
        <f>IF(D8="Low",'Linear Impact Assessment'!O17,"0.00")</f>
        <v>0.00</v>
      </c>
    </row>
    <row r="9" spans="1:9" ht="12.75">
      <c r="A9" s="7"/>
      <c r="B9" s="442">
        <f>'Linear Impact Assessment'!D18</f>
        <v>0</v>
      </c>
      <c r="C9" s="451">
        <f>'Linear Impact Assessment'!N18</f>
      </c>
      <c r="D9" s="452">
        <f>'Linear Impact Assessment'!F18</f>
      </c>
      <c r="E9" s="458" t="str">
        <f>IF(D9="High",'Linear Impact Assessment'!O18,"0.00")</f>
        <v>0.00</v>
      </c>
      <c r="F9" s="459" t="str">
        <f>IF(D9="Medium-High",'Linear Impact Assessment'!O18,"0.00")</f>
        <v>0.00</v>
      </c>
      <c r="G9" s="459" t="str">
        <f>IF(D9="Medium",'Linear Impact Assessment'!O18,"0.00")</f>
        <v>0.00</v>
      </c>
      <c r="H9" s="459" t="str">
        <f>IF(D9="Medium-Low",'Linear Impact Assessment'!O18,"0.00")</f>
        <v>0.00</v>
      </c>
      <c r="I9" s="460" t="str">
        <f>IF(D9="Low",'Linear Impact Assessment'!O18,"0.00")</f>
        <v>0.00</v>
      </c>
    </row>
    <row r="10" spans="1:9" ht="12.75">
      <c r="A10" s="7"/>
      <c r="B10" s="442">
        <f>'Linear Impact Assessment'!D19</f>
        <v>0</v>
      </c>
      <c r="C10" s="451">
        <f>'Linear Impact Assessment'!N19</f>
      </c>
      <c r="D10" s="452">
        <f>'Linear Impact Assessment'!F19</f>
      </c>
      <c r="E10" s="458" t="str">
        <f>IF(D10="High",'Linear Impact Assessment'!O19,"0.00")</f>
        <v>0.00</v>
      </c>
      <c r="F10" s="459" t="str">
        <f>IF(D10="Medium-High",'Linear Impact Assessment'!O19,"0.00")</f>
        <v>0.00</v>
      </c>
      <c r="G10" s="459" t="str">
        <f>IF(D10="Medium",'Linear Impact Assessment'!O19,"0.00")</f>
        <v>0.00</v>
      </c>
      <c r="H10" s="459" t="str">
        <f>IF(D10="Medium-Low",'Linear Impact Assessment'!O19,"0.00")</f>
        <v>0.00</v>
      </c>
      <c r="I10" s="460" t="str">
        <f>IF(D10="Low",'Linear Impact Assessment'!O19,"0.00")</f>
        <v>0.00</v>
      </c>
    </row>
    <row r="11" spans="1:9" ht="12.75">
      <c r="A11" s="7"/>
      <c r="B11" s="442">
        <f>'Linear Impact Assessment'!D20</f>
        <v>0</v>
      </c>
      <c r="C11" s="451">
        <f>'Linear Impact Assessment'!N20</f>
      </c>
      <c r="D11" s="452">
        <f>'Linear Impact Assessment'!F20</f>
      </c>
      <c r="E11" s="458" t="str">
        <f>IF(D11="High",'Linear Impact Assessment'!O20,"0.00")</f>
        <v>0.00</v>
      </c>
      <c r="F11" s="459" t="str">
        <f>IF(D11="Medium-High",'Linear Impact Assessment'!O20,"0.00")</f>
        <v>0.00</v>
      </c>
      <c r="G11" s="459" t="str">
        <f>IF(D11="Medium",'Linear Impact Assessment'!O20,"0.00")</f>
        <v>0.00</v>
      </c>
      <c r="H11" s="459" t="str">
        <f>IF(D11="Medium-Low",'Linear Impact Assessment'!O20,"0.00")</f>
        <v>0.00</v>
      </c>
      <c r="I11" s="460" t="str">
        <f>IF(D11="Low",'Linear Impact Assessment'!O20,"0.00")</f>
        <v>0.00</v>
      </c>
    </row>
    <row r="12" spans="1:9" ht="12.75">
      <c r="A12" s="7"/>
      <c r="B12" s="442">
        <f>'Linear Impact Assessment'!D21</f>
        <v>0</v>
      </c>
      <c r="C12" s="451">
        <f>'Linear Impact Assessment'!N21</f>
      </c>
      <c r="D12" s="452">
        <f>'Linear Impact Assessment'!F21</f>
      </c>
      <c r="E12" s="458" t="str">
        <f>IF(D12="High",'Linear Impact Assessment'!O21,"0.00")</f>
        <v>0.00</v>
      </c>
      <c r="F12" s="459" t="str">
        <f>IF(D12="Medium-High",'Linear Impact Assessment'!O21,"0.00")</f>
        <v>0.00</v>
      </c>
      <c r="G12" s="459" t="str">
        <f>IF(D12="Medium",'Linear Impact Assessment'!O21,"0.00")</f>
        <v>0.00</v>
      </c>
      <c r="H12" s="459" t="str">
        <f>IF(D12="Medium-Low",'Linear Impact Assessment'!O21,"0.00")</f>
        <v>0.00</v>
      </c>
      <c r="I12" s="460" t="str">
        <f>IF(D12="Low",'Linear Impact Assessment'!O21,"0.00")</f>
        <v>0.00</v>
      </c>
    </row>
    <row r="13" spans="1:9" ht="12.75">
      <c r="A13" s="7"/>
      <c r="B13" s="442">
        <f>'Linear Impact Assessment'!D22</f>
        <v>0</v>
      </c>
      <c r="C13" s="451">
        <f>'Linear Impact Assessment'!N22</f>
      </c>
      <c r="D13" s="452">
        <f>'Linear Impact Assessment'!F22</f>
      </c>
      <c r="E13" s="458" t="str">
        <f>IF(D13="High",'Linear Impact Assessment'!O22,"0.00")</f>
        <v>0.00</v>
      </c>
      <c r="F13" s="459" t="str">
        <f>IF(D13="Medium-High",'Linear Impact Assessment'!O22,"0.00")</f>
        <v>0.00</v>
      </c>
      <c r="G13" s="459" t="str">
        <f>IF(D13="Medium",'Linear Impact Assessment'!O22,"0.00")</f>
        <v>0.00</v>
      </c>
      <c r="H13" s="459" t="str">
        <f>IF(D13="Medium-Low",'Linear Impact Assessment'!O22,"0.00")</f>
        <v>0.00</v>
      </c>
      <c r="I13" s="460" t="str">
        <f>IF(D13="Low",'Linear Impact Assessment'!O22,"0.00")</f>
        <v>0.00</v>
      </c>
    </row>
    <row r="14" spans="1:9" ht="12.75">
      <c r="A14" s="7"/>
      <c r="B14" s="442">
        <f>'Linear Impact Assessment'!D23</f>
        <v>0</v>
      </c>
      <c r="C14" s="451">
        <f>'Linear Impact Assessment'!N23</f>
      </c>
      <c r="D14" s="452">
        <f>'Linear Impact Assessment'!F23</f>
      </c>
      <c r="E14" s="458" t="str">
        <f>IF(D14="High",'Linear Impact Assessment'!O23,"0.00")</f>
        <v>0.00</v>
      </c>
      <c r="F14" s="459" t="str">
        <f>IF(D14="Medium-High",'Linear Impact Assessment'!O23,"0.00")</f>
        <v>0.00</v>
      </c>
      <c r="G14" s="459" t="str">
        <f>IF(D14="Medium",'Linear Impact Assessment'!O23,"0.00")</f>
        <v>0.00</v>
      </c>
      <c r="H14" s="459" t="str">
        <f>IF(D14="Medium-Low",'Linear Impact Assessment'!O23,"0.00")</f>
        <v>0.00</v>
      </c>
      <c r="I14" s="460" t="str">
        <f>IF(D14="Low",'Linear Impact Assessment'!O23,"0.00")</f>
        <v>0.00</v>
      </c>
    </row>
    <row r="15" spans="1:9" ht="12.75">
      <c r="A15" s="7"/>
      <c r="B15" s="442">
        <f>'Linear Impact Assessment'!D24</f>
        <v>0</v>
      </c>
      <c r="C15" s="451">
        <f>'Linear Impact Assessment'!N24</f>
      </c>
      <c r="D15" s="452">
        <f>'Linear Impact Assessment'!F24</f>
      </c>
      <c r="E15" s="458" t="str">
        <f>IF(D15="High",'Linear Impact Assessment'!O24,"0.00")</f>
        <v>0.00</v>
      </c>
      <c r="F15" s="459" t="str">
        <f>IF(D15="Medium-High",'Linear Impact Assessment'!O24,"0.00")</f>
        <v>0.00</v>
      </c>
      <c r="G15" s="459" t="str">
        <f>IF(D15="Medium",'Linear Impact Assessment'!O24,"0.00")</f>
        <v>0.00</v>
      </c>
      <c r="H15" s="459" t="str">
        <f>IF(D15="Medium-Low",'Linear Impact Assessment'!O24,"0.00")</f>
        <v>0.00</v>
      </c>
      <c r="I15" s="460" t="str">
        <f>IF(D15="Low",'Linear Impact Assessment'!O24,"0.00")</f>
        <v>0.00</v>
      </c>
    </row>
    <row r="16" spans="1:9" ht="12.75">
      <c r="A16" s="7"/>
      <c r="B16" s="442">
        <f>'Linear Impact Assessment'!D25</f>
        <v>0</v>
      </c>
      <c r="C16" s="451">
        <f>'Linear Impact Assessment'!N25</f>
      </c>
      <c r="D16" s="452">
        <f>'Linear Impact Assessment'!F25</f>
      </c>
      <c r="E16" s="458" t="str">
        <f>IF(D16="High",'Linear Impact Assessment'!O25,"0.00")</f>
        <v>0.00</v>
      </c>
      <c r="F16" s="459" t="str">
        <f>IF(D16="Medium-High",'Linear Impact Assessment'!O25,"0.00")</f>
        <v>0.00</v>
      </c>
      <c r="G16" s="459" t="str">
        <f>IF(D16="Medium",'Linear Impact Assessment'!O25,"0.00")</f>
        <v>0.00</v>
      </c>
      <c r="H16" s="459" t="str">
        <f>IF(D16="Medium-Low",'Linear Impact Assessment'!O25,"0.00")</f>
        <v>0.00</v>
      </c>
      <c r="I16" s="460" t="str">
        <f>IF(D16="Low",'Linear Impact Assessment'!O25,"0.00")</f>
        <v>0.00</v>
      </c>
    </row>
    <row r="17" spans="1:9" ht="12.75">
      <c r="A17" s="7"/>
      <c r="B17" s="442">
        <f>'Linear Impact Assessment'!D26</f>
        <v>0</v>
      </c>
      <c r="C17" s="451">
        <f>'Linear Impact Assessment'!N26</f>
      </c>
      <c r="D17" s="452">
        <f>'Linear Impact Assessment'!F26</f>
      </c>
      <c r="E17" s="458" t="str">
        <f>IF(D17="High",'Linear Impact Assessment'!O26,"0.00")</f>
        <v>0.00</v>
      </c>
      <c r="F17" s="459" t="str">
        <f>IF(D17="Medium-High",'Linear Impact Assessment'!O26,"0.00")</f>
        <v>0.00</v>
      </c>
      <c r="G17" s="459" t="str">
        <f>IF(D17="Medium",'Linear Impact Assessment'!O26,"0.00")</f>
        <v>0.00</v>
      </c>
      <c r="H17" s="459" t="str">
        <f>IF(D17="Medium-Low",'Linear Impact Assessment'!O26,"0.00")</f>
        <v>0.00</v>
      </c>
      <c r="I17" s="460" t="str">
        <f>IF(D17="Low",'Linear Impact Assessment'!O26,"0.00")</f>
        <v>0.00</v>
      </c>
    </row>
    <row r="18" spans="1:9" ht="12.75">
      <c r="A18" s="7"/>
      <c r="B18" s="442">
        <f>'Linear Impact Assessment'!D27</f>
        <v>0</v>
      </c>
      <c r="C18" s="451">
        <f>'Linear Impact Assessment'!N27</f>
      </c>
      <c r="D18" s="452">
        <f>'Linear Impact Assessment'!F27</f>
      </c>
      <c r="E18" s="458" t="str">
        <f>IF(D18="High",'Linear Impact Assessment'!O27,"0.00")</f>
        <v>0.00</v>
      </c>
      <c r="F18" s="459" t="str">
        <f>IF(D18="Medium-High",'Linear Impact Assessment'!O27,"0.00")</f>
        <v>0.00</v>
      </c>
      <c r="G18" s="459" t="str">
        <f>IF(D18="Medium",'Linear Impact Assessment'!O27,"0.00")</f>
        <v>0.00</v>
      </c>
      <c r="H18" s="459" t="str">
        <f>IF(D18="Medium-Low",'Linear Impact Assessment'!O27,"0.00")</f>
        <v>0.00</v>
      </c>
      <c r="I18" s="460" t="str">
        <f>IF(D18="Low",'Linear Impact Assessment'!O27,"0.00")</f>
        <v>0.00</v>
      </c>
    </row>
    <row r="19" spans="1:9" ht="12.75">
      <c r="A19" s="7"/>
      <c r="B19" s="442">
        <f>'Linear Impact Assessment'!D28</f>
        <v>0</v>
      </c>
      <c r="C19" s="451">
        <f>'Linear Impact Assessment'!N28</f>
      </c>
      <c r="D19" s="452">
        <f>'Linear Impact Assessment'!F28</f>
      </c>
      <c r="E19" s="458" t="str">
        <f>IF(D19="High",'Linear Impact Assessment'!O28,"0.00")</f>
        <v>0.00</v>
      </c>
      <c r="F19" s="459" t="str">
        <f>IF(D19="Medium-High",'Linear Impact Assessment'!O28,"0.00")</f>
        <v>0.00</v>
      </c>
      <c r="G19" s="459" t="str">
        <f>IF(D19="Medium",'Linear Impact Assessment'!O28,"0.00")</f>
        <v>0.00</v>
      </c>
      <c r="H19" s="459" t="str">
        <f>IF(D19="Medium-Low",'Linear Impact Assessment'!O28,"0.00")</f>
        <v>0.00</v>
      </c>
      <c r="I19" s="460" t="str">
        <f>IF(D19="Low",'Linear Impact Assessment'!O28,"0.00")</f>
        <v>0.00</v>
      </c>
    </row>
    <row r="20" spans="1:9" ht="12.75">
      <c r="A20" s="7"/>
      <c r="B20" s="442">
        <f>'Linear Impact Assessment'!D29</f>
        <v>0</v>
      </c>
      <c r="C20" s="451">
        <f>'Linear Impact Assessment'!N29</f>
      </c>
      <c r="D20" s="452">
        <f>'Linear Impact Assessment'!F29</f>
      </c>
      <c r="E20" s="458" t="str">
        <f>IF(D20="High",'Linear Impact Assessment'!O29,"0.00")</f>
        <v>0.00</v>
      </c>
      <c r="F20" s="459" t="str">
        <f>IF(D20="Medium-High",'Linear Impact Assessment'!O29,"0.00")</f>
        <v>0.00</v>
      </c>
      <c r="G20" s="459" t="str">
        <f>IF(D20="Medium",'Linear Impact Assessment'!O29,"0.00")</f>
        <v>0.00</v>
      </c>
      <c r="H20" s="459" t="str">
        <f>IF(D20="Medium-Low",'Linear Impact Assessment'!O29,"0.00")</f>
        <v>0.00</v>
      </c>
      <c r="I20" s="460" t="str">
        <f>IF(D20="Low",'Linear Impact Assessment'!O29,"0.00")</f>
        <v>0.00</v>
      </c>
    </row>
    <row r="21" spans="1:9" ht="12.75">
      <c r="A21" s="7"/>
      <c r="B21" s="442">
        <f>'Linear Impact Assessment'!D30</f>
        <v>0</v>
      </c>
      <c r="C21" s="451">
        <f>'Linear Impact Assessment'!N30</f>
      </c>
      <c r="D21" s="452">
        <f>'Linear Impact Assessment'!F30</f>
      </c>
      <c r="E21" s="458" t="str">
        <f>IF(D21="High",'Linear Impact Assessment'!O30,"0.00")</f>
        <v>0.00</v>
      </c>
      <c r="F21" s="459" t="str">
        <f>IF(D21="Medium-High",'Linear Impact Assessment'!O30,"0.00")</f>
        <v>0.00</v>
      </c>
      <c r="G21" s="459" t="str">
        <f>IF(D21="Medium",'Linear Impact Assessment'!O30,"0.00")</f>
        <v>0.00</v>
      </c>
      <c r="H21" s="459" t="str">
        <f>IF(D21="Medium-Low",'Linear Impact Assessment'!O30,"0.00")</f>
        <v>0.00</v>
      </c>
      <c r="I21" s="460" t="str">
        <f>IF(D21="Low",'Linear Impact Assessment'!O30,"0.00")</f>
        <v>0.00</v>
      </c>
    </row>
    <row r="22" spans="1:9" ht="12.75">
      <c r="A22" s="7"/>
      <c r="B22" s="442">
        <f>'Linear Impact Assessment'!D31</f>
        <v>0</v>
      </c>
      <c r="C22" s="451">
        <f>'Linear Impact Assessment'!N31</f>
      </c>
      <c r="D22" s="452">
        <f>'Linear Impact Assessment'!F31</f>
      </c>
      <c r="E22" s="458" t="str">
        <f>IF(D22="High",'Linear Impact Assessment'!O31,"0.00")</f>
        <v>0.00</v>
      </c>
      <c r="F22" s="459" t="str">
        <f>IF(D22="Medium-High",'Linear Impact Assessment'!O31,"0.00")</f>
        <v>0.00</v>
      </c>
      <c r="G22" s="459" t="str">
        <f>IF(D22="Medium",'Linear Impact Assessment'!O31,"0.00")</f>
        <v>0.00</v>
      </c>
      <c r="H22" s="459" t="str">
        <f>IF(D22="Medium-Low",'Linear Impact Assessment'!O31,"0.00")</f>
        <v>0.00</v>
      </c>
      <c r="I22" s="460" t="str">
        <f>IF(D22="Low",'Linear Impact Assessment'!O31,"0.00")</f>
        <v>0.00</v>
      </c>
    </row>
    <row r="23" spans="1:9" ht="12.75">
      <c r="A23" s="7"/>
      <c r="B23" s="442">
        <f>'Linear Impact Assessment'!D32</f>
        <v>0</v>
      </c>
      <c r="C23" s="451">
        <f>'Linear Impact Assessment'!N32</f>
      </c>
      <c r="D23" s="452">
        <f>'Linear Impact Assessment'!F32</f>
      </c>
      <c r="E23" s="458" t="str">
        <f>IF(D23="High",'Linear Impact Assessment'!O32,"0.00")</f>
        <v>0.00</v>
      </c>
      <c r="F23" s="459" t="str">
        <f>IF(D23="Medium-High",'Linear Impact Assessment'!O32,"0.00")</f>
        <v>0.00</v>
      </c>
      <c r="G23" s="459" t="str">
        <f>IF(D23="Medium",'Linear Impact Assessment'!O32,"0.00")</f>
        <v>0.00</v>
      </c>
      <c r="H23" s="459" t="str">
        <f>IF(D23="Medium-Low",'Linear Impact Assessment'!O32,"0.00")</f>
        <v>0.00</v>
      </c>
      <c r="I23" s="460" t="str">
        <f>IF(D23="Low",'Linear Impact Assessment'!O32,"0.00")</f>
        <v>0.00</v>
      </c>
    </row>
    <row r="24" spans="1:9" ht="12.75">
      <c r="A24" s="7"/>
      <c r="B24" s="442">
        <f>'Linear Impact Assessment'!D33</f>
        <v>0</v>
      </c>
      <c r="C24" s="451">
        <f>'Linear Impact Assessment'!N33</f>
      </c>
      <c r="D24" s="452">
        <f>'Linear Impact Assessment'!F33</f>
      </c>
      <c r="E24" s="458" t="str">
        <f>IF(D24="High",'Linear Impact Assessment'!O33,"0.00")</f>
        <v>0.00</v>
      </c>
      <c r="F24" s="459" t="str">
        <f>IF(D24="Medium-High",'Linear Impact Assessment'!O33,"0.00")</f>
        <v>0.00</v>
      </c>
      <c r="G24" s="459" t="str">
        <f>IF(D24="Medium",'Linear Impact Assessment'!O33,"0.00")</f>
        <v>0.00</v>
      </c>
      <c r="H24" s="459" t="str">
        <f>IF(D24="Medium-Low",'Linear Impact Assessment'!O33,"0.00")</f>
        <v>0.00</v>
      </c>
      <c r="I24" s="460" t="str">
        <f>IF(D24="Low",'Linear Impact Assessment'!O33,"0.00")</f>
        <v>0.00</v>
      </c>
    </row>
    <row r="25" spans="1:9" ht="12.75">
      <c r="A25" s="7"/>
      <c r="B25" s="442">
        <f>'Linear Impact Assessment'!D34</f>
        <v>0</v>
      </c>
      <c r="C25" s="451">
        <f>'Linear Impact Assessment'!N34</f>
      </c>
      <c r="D25" s="452">
        <f>'Linear Impact Assessment'!F34</f>
      </c>
      <c r="E25" s="458" t="str">
        <f>IF(D25="High",'Linear Impact Assessment'!O34,"0.00")</f>
        <v>0.00</v>
      </c>
      <c r="F25" s="459" t="str">
        <f>IF(D25="Medium-High",'Linear Impact Assessment'!O34,"0.00")</f>
        <v>0.00</v>
      </c>
      <c r="G25" s="459" t="str">
        <f>IF(D25="Medium",'Linear Impact Assessment'!O34,"0.00")</f>
        <v>0.00</v>
      </c>
      <c r="H25" s="459" t="str">
        <f>IF(D25="Medium-Low",'Linear Impact Assessment'!O34,"0.00")</f>
        <v>0.00</v>
      </c>
      <c r="I25" s="460" t="str">
        <f>IF(D25="Low",'Linear Impact Assessment'!O34,"0.00")</f>
        <v>0.00</v>
      </c>
    </row>
    <row r="26" spans="1:9" ht="12.75">
      <c r="A26" s="7"/>
      <c r="B26" s="442">
        <f>'Linear Impact Assessment'!D35</f>
        <v>0</v>
      </c>
      <c r="C26" s="451">
        <f>'Linear Impact Assessment'!N35</f>
      </c>
      <c r="D26" s="452">
        <f>'Linear Impact Assessment'!F35</f>
      </c>
      <c r="E26" s="458" t="str">
        <f>IF(D26="High",'Linear Impact Assessment'!O35,"0.00")</f>
        <v>0.00</v>
      </c>
      <c r="F26" s="459" t="str">
        <f>IF(D26="Medium-High",'Linear Impact Assessment'!O35,"0.00")</f>
        <v>0.00</v>
      </c>
      <c r="G26" s="459" t="str">
        <f>IF(D26="Medium",'Linear Impact Assessment'!O35,"0.00")</f>
        <v>0.00</v>
      </c>
      <c r="H26" s="459" t="str">
        <f>IF(D26="Medium-Low",'Linear Impact Assessment'!O35,"0.00")</f>
        <v>0.00</v>
      </c>
      <c r="I26" s="460" t="str">
        <f>IF(D26="Low",'Linear Impact Assessment'!O35,"0.00")</f>
        <v>0.00</v>
      </c>
    </row>
    <row r="27" spans="1:9" ht="12.75">
      <c r="A27" s="7"/>
      <c r="B27" s="442">
        <f>'Linear Impact Assessment'!D36</f>
        <v>0</v>
      </c>
      <c r="C27" s="451">
        <f>'Linear Impact Assessment'!N36</f>
      </c>
      <c r="D27" s="452">
        <f>'Linear Impact Assessment'!F36</f>
      </c>
      <c r="E27" s="458" t="str">
        <f>IF(D27="High",'Linear Impact Assessment'!O36,"0.00")</f>
        <v>0.00</v>
      </c>
      <c r="F27" s="459" t="str">
        <f>IF(D27="Medium-High",'Linear Impact Assessment'!O36,"0.00")</f>
        <v>0.00</v>
      </c>
      <c r="G27" s="459" t="str">
        <f>IF(D27="Medium",'Linear Impact Assessment'!O36,"0.00")</f>
        <v>0.00</v>
      </c>
      <c r="H27" s="459" t="str">
        <f>IF(D27="Medium-Low",'Linear Impact Assessment'!O36,"0.00")</f>
        <v>0.00</v>
      </c>
      <c r="I27" s="460" t="str">
        <f>IF(D27="Low",'Linear Impact Assessment'!O36,"0.00")</f>
        <v>0.00</v>
      </c>
    </row>
    <row r="28" spans="1:9" ht="12.75">
      <c r="A28" s="7"/>
      <c r="B28" s="442">
        <f>'Linear Impact Assessment'!D37</f>
        <v>0</v>
      </c>
      <c r="C28" s="451">
        <f>'Linear Impact Assessment'!N37</f>
      </c>
      <c r="D28" s="452">
        <f>'Linear Impact Assessment'!F37</f>
      </c>
      <c r="E28" s="458" t="str">
        <f>IF(D28="High",'Linear Impact Assessment'!O37,"0.00")</f>
        <v>0.00</v>
      </c>
      <c r="F28" s="459" t="str">
        <f>IF(D28="Medium-High",'Linear Impact Assessment'!O37,"0.00")</f>
        <v>0.00</v>
      </c>
      <c r="G28" s="459" t="str">
        <f>IF(D28="Medium",'Linear Impact Assessment'!O37,"0.00")</f>
        <v>0.00</v>
      </c>
      <c r="H28" s="459" t="str">
        <f>IF(D28="Medium-Low",'Linear Impact Assessment'!O37,"0.00")</f>
        <v>0.00</v>
      </c>
      <c r="I28" s="460" t="str">
        <f>IF(D28="Low",'Linear Impact Assessment'!O37,"0.00")</f>
        <v>0.00</v>
      </c>
    </row>
    <row r="29" spans="1:9" ht="12.75">
      <c r="A29" s="7"/>
      <c r="B29" s="442">
        <f>'Linear Impact Assessment'!D38</f>
        <v>0</v>
      </c>
      <c r="C29" s="451">
        <f>'Linear Impact Assessment'!N38</f>
      </c>
      <c r="D29" s="452">
        <f>'Linear Impact Assessment'!F38</f>
      </c>
      <c r="E29" s="458" t="str">
        <f>IF(D29="High",'Linear Impact Assessment'!O38,"0.00")</f>
        <v>0.00</v>
      </c>
      <c r="F29" s="459" t="str">
        <f>IF(D29="Medium-High",'Linear Impact Assessment'!O38,"0.00")</f>
        <v>0.00</v>
      </c>
      <c r="G29" s="459" t="str">
        <f>IF(D29="Medium",'Linear Impact Assessment'!O38,"0.00")</f>
        <v>0.00</v>
      </c>
      <c r="H29" s="459" t="str">
        <f>IF(D29="Medium-Low",'Linear Impact Assessment'!O38,"0.00")</f>
        <v>0.00</v>
      </c>
      <c r="I29" s="460" t="str">
        <f>IF(D29="Low",'Linear Impact Assessment'!O38,"0.00")</f>
        <v>0.00</v>
      </c>
    </row>
    <row r="30" spans="1:9" ht="12.75">
      <c r="A30" s="7"/>
      <c r="B30" s="442">
        <f>'Linear Impact Assessment'!D39</f>
        <v>0</v>
      </c>
      <c r="C30" s="451">
        <f>'Linear Impact Assessment'!N39</f>
      </c>
      <c r="D30" s="452">
        <f>'Linear Impact Assessment'!F39</f>
      </c>
      <c r="E30" s="458" t="str">
        <f>IF(D30="High",'Linear Impact Assessment'!O39,"0.00")</f>
        <v>0.00</v>
      </c>
      <c r="F30" s="459" t="str">
        <f>IF(D30="Medium-High",'Linear Impact Assessment'!O39,"0.00")</f>
        <v>0.00</v>
      </c>
      <c r="G30" s="459" t="str">
        <f>IF(D30="Medium",'Linear Impact Assessment'!O39,"0.00")</f>
        <v>0.00</v>
      </c>
      <c r="H30" s="459" t="str">
        <f>IF(D30="Medium-Low",'Linear Impact Assessment'!O39,"0.00")</f>
        <v>0.00</v>
      </c>
      <c r="I30" s="460" t="str">
        <f>IF(D30="Low",'Linear Impact Assessment'!O39,"0.00")</f>
        <v>0.00</v>
      </c>
    </row>
    <row r="31" spans="1:9" ht="12.75">
      <c r="A31" s="7"/>
      <c r="B31" s="442">
        <f>'Linear Impact Assessment'!D40</f>
        <v>0</v>
      </c>
      <c r="C31" s="451">
        <f>'Linear Impact Assessment'!N40</f>
      </c>
      <c r="D31" s="452">
        <f>'Linear Impact Assessment'!F40</f>
      </c>
      <c r="E31" s="458" t="str">
        <f>IF(D31="High",'Linear Impact Assessment'!O40,"0.00")</f>
        <v>0.00</v>
      </c>
      <c r="F31" s="459" t="str">
        <f>IF(D31="Medium-High",'Linear Impact Assessment'!O40,"0.00")</f>
        <v>0.00</v>
      </c>
      <c r="G31" s="459" t="str">
        <f>IF(D31="Medium",'Linear Impact Assessment'!O40,"0.00")</f>
        <v>0.00</v>
      </c>
      <c r="H31" s="459" t="str">
        <f>IF(D31="Medium-Low",'Linear Impact Assessment'!O40,"0.00")</f>
        <v>0.00</v>
      </c>
      <c r="I31" s="460" t="str">
        <f>IF(D31="Low",'Linear Impact Assessment'!O40,"0.00")</f>
        <v>0.00</v>
      </c>
    </row>
    <row r="32" spans="1:9" ht="12.75">
      <c r="A32" s="7"/>
      <c r="B32" s="442">
        <f>'Linear Impact Assessment'!D41</f>
        <v>0</v>
      </c>
      <c r="C32" s="451">
        <f>'Linear Impact Assessment'!N41</f>
      </c>
      <c r="D32" s="452">
        <f>'Linear Impact Assessment'!F41</f>
      </c>
      <c r="E32" s="458" t="str">
        <f>IF(D32="High",'Linear Impact Assessment'!O41,"0.00")</f>
        <v>0.00</v>
      </c>
      <c r="F32" s="459" t="str">
        <f>IF(D32="Medium-High",'Linear Impact Assessment'!O41,"0.00")</f>
        <v>0.00</v>
      </c>
      <c r="G32" s="459" t="str">
        <f>IF(D32="Medium",'Linear Impact Assessment'!O41,"0.00")</f>
        <v>0.00</v>
      </c>
      <c r="H32" s="459" t="str">
        <f>IF(D32="Medium-Low",'Linear Impact Assessment'!O41,"0.00")</f>
        <v>0.00</v>
      </c>
      <c r="I32" s="460" t="str">
        <f>IF(D32="Low",'Linear Impact Assessment'!O41,"0.00")</f>
        <v>0.00</v>
      </c>
    </row>
    <row r="33" spans="1:9" ht="12.75">
      <c r="A33" s="7"/>
      <c r="B33" s="442">
        <f>'Linear Impact Assessment'!D42</f>
        <v>0</v>
      </c>
      <c r="C33" s="451">
        <f>'Linear Impact Assessment'!N42</f>
      </c>
      <c r="D33" s="452">
        <f>'Linear Impact Assessment'!F42</f>
      </c>
      <c r="E33" s="458" t="str">
        <f>IF(D33="High",'Linear Impact Assessment'!O42,"0.00")</f>
        <v>0.00</v>
      </c>
      <c r="F33" s="459" t="str">
        <f>IF(D33="Medium-High",'Linear Impact Assessment'!O42,"0.00")</f>
        <v>0.00</v>
      </c>
      <c r="G33" s="459" t="str">
        <f>IF(D33="Medium",'Linear Impact Assessment'!O42,"0.00")</f>
        <v>0.00</v>
      </c>
      <c r="H33" s="459" t="str">
        <f>IF(D33="Medium-Low",'Linear Impact Assessment'!O42,"0.00")</f>
        <v>0.00</v>
      </c>
      <c r="I33" s="460" t="str">
        <f>IF(D33="Low",'Linear Impact Assessment'!O42,"0.00")</f>
        <v>0.00</v>
      </c>
    </row>
    <row r="34" spans="1:9" ht="12.75">
      <c r="A34" s="7"/>
      <c r="B34" s="442">
        <f>'Linear Impact Assessment'!D43</f>
        <v>0</v>
      </c>
      <c r="C34" s="451">
        <f>'Linear Impact Assessment'!N43</f>
      </c>
      <c r="D34" s="452">
        <f>'Linear Impact Assessment'!F43</f>
      </c>
      <c r="E34" s="458" t="str">
        <f>IF(D34="High",'Linear Impact Assessment'!O43,"0.00")</f>
        <v>0.00</v>
      </c>
      <c r="F34" s="459" t="str">
        <f>IF(D34="Medium-High",'Linear Impact Assessment'!O43,"0.00")</f>
        <v>0.00</v>
      </c>
      <c r="G34" s="459" t="str">
        <f>IF(D34="Medium",'Linear Impact Assessment'!O43,"0.00")</f>
        <v>0.00</v>
      </c>
      <c r="H34" s="459" t="str">
        <f>IF(D34="Medium-Low",'Linear Impact Assessment'!O43,"0.00")</f>
        <v>0.00</v>
      </c>
      <c r="I34" s="460" t="str">
        <f>IF(D34="Low",'Linear Impact Assessment'!O43,"0.00")</f>
        <v>0.00</v>
      </c>
    </row>
    <row r="35" spans="1:9" ht="13.5" thickBot="1">
      <c r="A35" s="7"/>
      <c r="B35" s="444">
        <f>'Linear Impact Assessment'!D44</f>
        <v>0</v>
      </c>
      <c r="C35" s="453">
        <f>'Linear Impact Assessment'!N44</f>
      </c>
      <c r="D35" s="454">
        <f>'Linear Impact Assessment'!F44</f>
      </c>
      <c r="E35" s="620" t="str">
        <f>IF(D35="High",'Linear Impact Assessment'!O44,"0.00")</f>
        <v>0.00</v>
      </c>
      <c r="F35" s="461" t="str">
        <f>IF(D35="Medium-High",'Linear Impact Assessment'!O44,"0.00")</f>
        <v>0.00</v>
      </c>
      <c r="G35" s="461" t="str">
        <f>IF(D35="Medium",'Linear Impact Assessment'!O44,"0.00")</f>
        <v>0.00</v>
      </c>
      <c r="H35" s="461" t="str">
        <f>IF(D35="Medium-Low",'Linear Impact Assessment'!O44,"0.00")</f>
        <v>0.00</v>
      </c>
      <c r="I35" s="462" t="str">
        <f>IF(D35="Low",'Linear Impact Assessment'!O44,"0.00")</f>
        <v>0.00</v>
      </c>
    </row>
    <row r="36" spans="1:9" ht="13.5" thickBot="1">
      <c r="A36" s="7"/>
      <c r="B36" s="394" t="s">
        <v>296</v>
      </c>
      <c r="C36" s="395"/>
      <c r="D36" s="396"/>
      <c r="E36" s="624"/>
      <c r="F36" s="625"/>
      <c r="G36" s="625"/>
      <c r="H36" s="626"/>
      <c r="I36" s="627"/>
    </row>
    <row r="37" spans="1:9" ht="12.75">
      <c r="A37" s="7"/>
      <c r="B37" s="443">
        <f>'Linear Impact Assessment'!D50</f>
        <v>0</v>
      </c>
      <c r="C37" s="447">
        <f>'Linear Impact Assessment'!E50</f>
        <v>0</v>
      </c>
      <c r="D37" s="621">
        <f>'Linear Impact Assessment'!F50</f>
      </c>
      <c r="E37" s="455" t="str">
        <f>IF(D37="High",'Linear Impact Assessment'!K50,"0.00")</f>
        <v>0.00</v>
      </c>
      <c r="F37" s="456" t="str">
        <f>IF(D37="Medium-High",'Linear Impact Assessment'!K50,"0.00")</f>
        <v>0.00</v>
      </c>
      <c r="G37" s="456" t="str">
        <f>IF(D37="Medium",'Linear Impact Assessment'!K50,"0.00")</f>
        <v>0.00</v>
      </c>
      <c r="H37" s="456" t="str">
        <f>IF(D37="Medium-Low",'Linear Impact Assessment'!K50,"0.00")</f>
        <v>0.00</v>
      </c>
      <c r="I37" s="457" t="str">
        <f>IF(D37="Low",'Linear Impact Assessment'!K50,"0.00")</f>
        <v>0.00</v>
      </c>
    </row>
    <row r="38" spans="1:9" ht="12.75">
      <c r="A38" s="7"/>
      <c r="B38" s="442">
        <f>'Linear Impact Assessment'!D52</f>
        <v>0</v>
      </c>
      <c r="C38" s="446">
        <f>'Linear Impact Assessment'!E52</f>
        <v>0</v>
      </c>
      <c r="D38" s="622">
        <f>'Linear Impact Assessment'!F52</f>
      </c>
      <c r="E38" s="458" t="str">
        <f>IF(D38="High",'Linear Impact Assessment'!K52,"0.00")</f>
        <v>0.00</v>
      </c>
      <c r="F38" s="459" t="str">
        <f>IF(D38="Medium-High",'Linear Impact Assessment'!K52,"0.00")</f>
        <v>0.00</v>
      </c>
      <c r="G38" s="459" t="str">
        <f>IF(D38="Medium",'Linear Impact Assessment'!K52,"0.00")</f>
        <v>0.00</v>
      </c>
      <c r="H38" s="459" t="str">
        <f>IF(D38="Medium-Low",'Linear Impact Assessment'!K52,"0.00")</f>
        <v>0.00</v>
      </c>
      <c r="I38" s="460" t="str">
        <f>IF(D38="Low",'Linear Impact Assessment'!K52,"0.00")</f>
        <v>0.00</v>
      </c>
    </row>
    <row r="39" spans="1:9" ht="12.75">
      <c r="A39" s="7"/>
      <c r="B39" s="442">
        <f>'Linear Impact Assessment'!D54</f>
        <v>0</v>
      </c>
      <c r="C39" s="446">
        <f>'Linear Impact Assessment'!E54</f>
        <v>0</v>
      </c>
      <c r="D39" s="622">
        <f>'Linear Impact Assessment'!F54</f>
      </c>
      <c r="E39" s="458" t="str">
        <f>IF(D39="High",'Linear Impact Assessment'!K54,"0.00")</f>
        <v>0.00</v>
      </c>
      <c r="F39" s="459" t="str">
        <f>IF(D39="Medium-High",'Linear Impact Assessment'!K54,"0.00")</f>
        <v>0.00</v>
      </c>
      <c r="G39" s="459" t="str">
        <f>IF(D39="Medium",'Linear Impact Assessment'!K54,"0.00")</f>
        <v>0.00</v>
      </c>
      <c r="H39" s="459" t="str">
        <f>IF(D39="Medium-Low",'Linear Impact Assessment'!K54,"0.00")</f>
        <v>0.00</v>
      </c>
      <c r="I39" s="460" t="str">
        <f>IF(D39="Low",'Linear Impact Assessment'!K54,"0.00")</f>
        <v>0.00</v>
      </c>
    </row>
    <row r="40" spans="1:9" ht="12.75">
      <c r="A40" s="7"/>
      <c r="B40" s="442">
        <f>'Linear Impact Assessment'!D56</f>
        <v>0</v>
      </c>
      <c r="C40" s="446">
        <f>'Linear Impact Assessment'!E56</f>
        <v>0</v>
      </c>
      <c r="D40" s="622">
        <f>'Linear Impact Assessment'!F56</f>
      </c>
      <c r="E40" s="458" t="str">
        <f>IF(D40="High",'Linear Impact Assessment'!K56,"0.00")</f>
        <v>0.00</v>
      </c>
      <c r="F40" s="459" t="str">
        <f>IF(D40="Medium-High",'Linear Impact Assessment'!K56,"0.00")</f>
        <v>0.00</v>
      </c>
      <c r="G40" s="459" t="str">
        <f>IF(D40="Medium",'Linear Impact Assessment'!K56,"0.00")</f>
        <v>0.00</v>
      </c>
      <c r="H40" s="459" t="str">
        <f>IF(D40="Medium-Low",'Linear Impact Assessment'!K56,"0.00")</f>
        <v>0.00</v>
      </c>
      <c r="I40" s="460" t="str">
        <f>IF(D40="Low",'Linear Impact Assessment'!K56,"0.00")</f>
        <v>0.00</v>
      </c>
    </row>
    <row r="41" spans="1:9" ht="13.5" thickBot="1">
      <c r="A41" s="7"/>
      <c r="B41" s="445">
        <f>'Linear Impact Assessment'!D58</f>
        <v>0</v>
      </c>
      <c r="C41" s="448">
        <f>'Linear Impact Assessment'!E58</f>
        <v>0</v>
      </c>
      <c r="D41" s="623">
        <f>'Linear Impact Assessment'!F58</f>
      </c>
      <c r="E41" s="620" t="str">
        <f>IF(D41="High",'Linear Impact Assessment'!K58,"0.00")</f>
        <v>0.00</v>
      </c>
      <c r="F41" s="461" t="str">
        <f>IF(D41="Medium-High",'Linear Impact Assessment'!K58,"0.00")</f>
        <v>0.00</v>
      </c>
      <c r="G41" s="461" t="str">
        <f>IF(D41="Medium",'Linear Impact Assessment'!K58,"0.00")</f>
        <v>0.00</v>
      </c>
      <c r="H41" s="461" t="str">
        <f>IF(D41="Medium-Low",'Linear Impact Assessment'!K58,"0.00")</f>
        <v>0.00</v>
      </c>
      <c r="I41" s="462" t="str">
        <f>IF(D41="Low",'Linear Impact Assessment'!K58,"0.00")</f>
        <v>0.00</v>
      </c>
    </row>
    <row r="42" spans="1:10" ht="13.5" thickBot="1">
      <c r="A42" s="7"/>
      <c r="B42" s="20" t="s">
        <v>219</v>
      </c>
      <c r="C42" s="21">
        <f>SUM(C6:C41)</f>
        <v>0</v>
      </c>
      <c r="D42" s="26"/>
      <c r="E42" s="425">
        <f>SUM(E6:E41)</f>
        <v>0</v>
      </c>
      <c r="F42" s="426">
        <f>SUM(F6:F41)</f>
        <v>0</v>
      </c>
      <c r="G42" s="426">
        <f>SUM(G6:G41)</f>
        <v>0</v>
      </c>
      <c r="H42" s="426">
        <f>SUM(H6:H41)</f>
        <v>0</v>
      </c>
      <c r="I42" s="427">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1.75" thickBot="1">
      <c r="A45" s="7"/>
      <c r="B45" s="22" t="s">
        <v>322</v>
      </c>
      <c r="C45" s="16" t="s">
        <v>309</v>
      </c>
      <c r="D45" s="27" t="s">
        <v>0</v>
      </c>
      <c r="E45" s="29" t="s">
        <v>267</v>
      </c>
      <c r="F45" s="30" t="s">
        <v>312</v>
      </c>
      <c r="G45" s="30" t="s">
        <v>268</v>
      </c>
      <c r="H45" s="30" t="s">
        <v>313</v>
      </c>
      <c r="I45" s="31" t="s">
        <v>269</v>
      </c>
    </row>
    <row r="46" spans="1:9" ht="12.75">
      <c r="A46" s="7"/>
      <c r="B46" s="443">
        <f>'Linear Impact Assessment'!D67</f>
        <v>0</v>
      </c>
      <c r="C46" s="449">
        <f>'Linear Impact Assessment'!E67</f>
        <v>0</v>
      </c>
      <c r="D46" s="450">
        <f>'Linear Impact Assessment'!F67</f>
      </c>
      <c r="E46" s="463" t="str">
        <f>IF(D46="High",'Linear Impact Assessment'!$O67,"0.00")</f>
        <v>0.00</v>
      </c>
      <c r="F46" s="464" t="str">
        <f>IF(D46="Medium-High",'Linear Impact Assessment'!$O67,"0.00")</f>
        <v>0.00</v>
      </c>
      <c r="G46" s="464" t="str">
        <f>IF(D46="Medium",'Linear Impact Assessment'!$O67,"0.00")</f>
        <v>0.00</v>
      </c>
      <c r="H46" s="464" t="str">
        <f>IF(D46="Medium-Low",'Linear Impact Assessment'!$O67,"0.00")</f>
        <v>0.00</v>
      </c>
      <c r="I46" s="465" t="str">
        <f>IF(D46="Low",'Linear Impact Assessment'!$O67,"0.00")</f>
        <v>0.00</v>
      </c>
    </row>
    <row r="47" spans="1:9" ht="12.75">
      <c r="A47" s="7"/>
      <c r="B47" s="442">
        <f>'Linear Impact Assessment'!D68</f>
        <v>0</v>
      </c>
      <c r="C47" s="451">
        <f>'Linear Impact Assessment'!E68</f>
        <v>0</v>
      </c>
      <c r="D47" s="452">
        <f>'Linear Impact Assessment'!F68</f>
      </c>
      <c r="E47" s="463" t="str">
        <f>IF(D47="High",'Linear Impact Assessment'!$O68,"0.00")</f>
        <v>0.00</v>
      </c>
      <c r="F47" s="464" t="str">
        <f>IF(D47="Medium-High",'Linear Impact Assessment'!$O68,"0.00")</f>
        <v>0.00</v>
      </c>
      <c r="G47" s="464" t="str">
        <f>IF(D47="Medium",'Linear Impact Assessment'!$O68,"0.00")</f>
        <v>0.00</v>
      </c>
      <c r="H47" s="464" t="str">
        <f>IF(D47="Medium-Low",'Linear Impact Assessment'!$O68,"0.00")</f>
        <v>0.00</v>
      </c>
      <c r="I47" s="465" t="str">
        <f>IF(D47="Low",'Linear Impact Assessment'!$O68,"0.00")</f>
        <v>0.00</v>
      </c>
    </row>
    <row r="48" spans="1:9" ht="12.75">
      <c r="A48" s="7"/>
      <c r="B48" s="442">
        <f>'Linear Impact Assessment'!D69</f>
        <v>0</v>
      </c>
      <c r="C48" s="451">
        <f>'Linear Impact Assessment'!E69</f>
        <v>0</v>
      </c>
      <c r="D48" s="452">
        <f>'Linear Impact Assessment'!F69</f>
      </c>
      <c r="E48" s="463" t="str">
        <f>IF(D48="High",'Linear Impact Assessment'!$O69,"0.00")</f>
        <v>0.00</v>
      </c>
      <c r="F48" s="464" t="str">
        <f>IF(D48="Medium-High",'Linear Impact Assessment'!$O69,"0.00")</f>
        <v>0.00</v>
      </c>
      <c r="G48" s="464" t="str">
        <f>IF(D48="Medium",'Linear Impact Assessment'!$O69,"0.00")</f>
        <v>0.00</v>
      </c>
      <c r="H48" s="464" t="str">
        <f>IF(D48="Medium-Low",'Linear Impact Assessment'!$O69,"0.00")</f>
        <v>0.00</v>
      </c>
      <c r="I48" s="465" t="str">
        <f>IF(D48="Low",'Linear Impact Assessment'!$O69,"0.00")</f>
        <v>0.00</v>
      </c>
    </row>
    <row r="49" spans="1:9" ht="12.75">
      <c r="A49" s="7"/>
      <c r="B49" s="442">
        <f>'Linear Impact Assessment'!D70</f>
        <v>0</v>
      </c>
      <c r="C49" s="451">
        <f>'Linear Impact Assessment'!E70</f>
        <v>0</v>
      </c>
      <c r="D49" s="452">
        <f>'Linear Impact Assessment'!F70</f>
      </c>
      <c r="E49" s="463" t="str">
        <f>IF(D49="High",'Linear Impact Assessment'!$O70,"0.00")</f>
        <v>0.00</v>
      </c>
      <c r="F49" s="464" t="str">
        <f>IF(D49="Medium-High",'Linear Impact Assessment'!$O70,"0.00")</f>
        <v>0.00</v>
      </c>
      <c r="G49" s="464" t="str">
        <f>IF(D49="Medium",'Linear Impact Assessment'!$O70,"0.00")</f>
        <v>0.00</v>
      </c>
      <c r="H49" s="464" t="str">
        <f>IF(D49="Medium-Low",'Linear Impact Assessment'!$O70,"0.00")</f>
        <v>0.00</v>
      </c>
      <c r="I49" s="465" t="str">
        <f>IF(D49="Low",'Linear Impact Assessment'!$O70,"0.00")</f>
        <v>0.00</v>
      </c>
    </row>
    <row r="50" spans="1:9" ht="12.75">
      <c r="A50" s="7"/>
      <c r="B50" s="442">
        <f>'Linear Impact Assessment'!D71</f>
        <v>0</v>
      </c>
      <c r="C50" s="451">
        <f>'Linear Impact Assessment'!E71</f>
        <v>0</v>
      </c>
      <c r="D50" s="452">
        <f>'Linear Impact Assessment'!F71</f>
      </c>
      <c r="E50" s="463" t="str">
        <f>IF(D50="High",'Linear Impact Assessment'!$O71,"0.00")</f>
        <v>0.00</v>
      </c>
      <c r="F50" s="464" t="str">
        <f>IF(D50="Medium-High",'Linear Impact Assessment'!$O71,"0.00")</f>
        <v>0.00</v>
      </c>
      <c r="G50" s="464" t="str">
        <f>IF(D50="Medium",'Linear Impact Assessment'!$O71,"0.00")</f>
        <v>0.00</v>
      </c>
      <c r="H50" s="464" t="str">
        <f>IF(D50="Medium-Low",'Linear Impact Assessment'!$O71,"0.00")</f>
        <v>0.00</v>
      </c>
      <c r="I50" s="465" t="str">
        <f>IF(D50="Low",'Linear Impact Assessment'!$O71,"0.00")</f>
        <v>0.00</v>
      </c>
    </row>
    <row r="51" spans="1:9" ht="12.75">
      <c r="A51" s="7"/>
      <c r="B51" s="442">
        <f>'Linear Impact Assessment'!D72</f>
        <v>0</v>
      </c>
      <c r="C51" s="451">
        <f>'Linear Impact Assessment'!E72</f>
        <v>0</v>
      </c>
      <c r="D51" s="452">
        <f>'Linear Impact Assessment'!F72</f>
      </c>
      <c r="E51" s="463" t="str">
        <f>IF(D51="High",'Linear Impact Assessment'!$O72,"0.00")</f>
        <v>0.00</v>
      </c>
      <c r="F51" s="464" t="str">
        <f>IF(D51="Medium-High",'Linear Impact Assessment'!$O72,"0.00")</f>
        <v>0.00</v>
      </c>
      <c r="G51" s="464" t="str">
        <f>IF(D51="Medium",'Linear Impact Assessment'!$O72,"0.00")</f>
        <v>0.00</v>
      </c>
      <c r="H51" s="464" t="str">
        <f>IF(D51="Medium-Low",'Linear Impact Assessment'!$O72,"0.00")</f>
        <v>0.00</v>
      </c>
      <c r="I51" s="465" t="str">
        <f>IF(D51="Low",'Linear Impact Assessment'!$O72,"0.00")</f>
        <v>0.00</v>
      </c>
    </row>
    <row r="52" spans="1:9" ht="12.75">
      <c r="A52" s="7"/>
      <c r="B52" s="442">
        <f>'Linear Impact Assessment'!D73</f>
        <v>0</v>
      </c>
      <c r="C52" s="451">
        <f>'Linear Impact Assessment'!E73</f>
        <v>0</v>
      </c>
      <c r="D52" s="452">
        <f>'Linear Impact Assessment'!F73</f>
      </c>
      <c r="E52" s="463" t="str">
        <f>IF(D52="High",'Linear Impact Assessment'!$O73,"0.00")</f>
        <v>0.00</v>
      </c>
      <c r="F52" s="464" t="str">
        <f>IF(D52="Medium-High",'Linear Impact Assessment'!$O73,"0.00")</f>
        <v>0.00</v>
      </c>
      <c r="G52" s="464" t="str">
        <f>IF(D52="Medium",'Linear Impact Assessment'!$O73,"0.00")</f>
        <v>0.00</v>
      </c>
      <c r="H52" s="464" t="str">
        <f>IF(D52="Medium-Low",'Linear Impact Assessment'!$O73,"0.00")</f>
        <v>0.00</v>
      </c>
      <c r="I52" s="465" t="str">
        <f>IF(D52="Low",'Linear Impact Assessment'!$O73,"0.00")</f>
        <v>0.00</v>
      </c>
    </row>
    <row r="53" spans="1:9" ht="12.75">
      <c r="A53" s="7"/>
      <c r="B53" s="442">
        <f>'Linear Impact Assessment'!D74</f>
        <v>0</v>
      </c>
      <c r="C53" s="451">
        <f>'Linear Impact Assessment'!E74</f>
        <v>0</v>
      </c>
      <c r="D53" s="452">
        <f>'Linear Impact Assessment'!F74</f>
      </c>
      <c r="E53" s="463" t="str">
        <f>IF(D53="High",'Linear Impact Assessment'!$O74,"0.00")</f>
        <v>0.00</v>
      </c>
      <c r="F53" s="464" t="str">
        <f>IF(D53="Medium-High",'Linear Impact Assessment'!$O74,"0.00")</f>
        <v>0.00</v>
      </c>
      <c r="G53" s="464" t="str">
        <f>IF(D53="Medium",'Linear Impact Assessment'!$O74,"0.00")</f>
        <v>0.00</v>
      </c>
      <c r="H53" s="464" t="str">
        <f>IF(D53="Medium-Low",'Linear Impact Assessment'!$O74,"0.00")</f>
        <v>0.00</v>
      </c>
      <c r="I53" s="465" t="str">
        <f>IF(D53="Low",'Linear Impact Assessment'!$O74,"0.00")</f>
        <v>0.00</v>
      </c>
    </row>
    <row r="54" spans="1:9" ht="12.75">
      <c r="A54" s="7"/>
      <c r="B54" s="442">
        <f>'Linear Impact Assessment'!D75</f>
        <v>0</v>
      </c>
      <c r="C54" s="451">
        <f>'Linear Impact Assessment'!E75</f>
        <v>0</v>
      </c>
      <c r="D54" s="452">
        <f>'Linear Impact Assessment'!F75</f>
      </c>
      <c r="E54" s="463" t="str">
        <f>IF(D54="High",'Linear Impact Assessment'!$O75,"0.00")</f>
        <v>0.00</v>
      </c>
      <c r="F54" s="464" t="str">
        <f>IF(D54="Medium-High",'Linear Impact Assessment'!$O75,"0.00")</f>
        <v>0.00</v>
      </c>
      <c r="G54" s="464" t="str">
        <f>IF(D54="Medium",'Linear Impact Assessment'!$O75,"0.00")</f>
        <v>0.00</v>
      </c>
      <c r="H54" s="464" t="str">
        <f>IF(D54="Medium-Low",'Linear Impact Assessment'!$O75,"0.00")</f>
        <v>0.00</v>
      </c>
      <c r="I54" s="465" t="str">
        <f>IF(D54="Low",'Linear Impact Assessment'!$O75,"0.00")</f>
        <v>0.00</v>
      </c>
    </row>
    <row r="55" spans="1:9" ht="12.75">
      <c r="A55" s="7"/>
      <c r="B55" s="442">
        <f>'Linear Impact Assessment'!D76</f>
        <v>0</v>
      </c>
      <c r="C55" s="451">
        <f>'Linear Impact Assessment'!E76</f>
        <v>0</v>
      </c>
      <c r="D55" s="452">
        <f>'Linear Impact Assessment'!F76</f>
      </c>
      <c r="E55" s="463" t="str">
        <f>IF(D55="High",'Linear Impact Assessment'!$O76,"0.00")</f>
        <v>0.00</v>
      </c>
      <c r="F55" s="464" t="str">
        <f>IF(D55="Medium-High",'Linear Impact Assessment'!$O76,"0.00")</f>
        <v>0.00</v>
      </c>
      <c r="G55" s="464" t="str">
        <f>IF(D55="Medium",'Linear Impact Assessment'!$O76,"0.00")</f>
        <v>0.00</v>
      </c>
      <c r="H55" s="464" t="str">
        <f>IF(D55="Medium-Low",'Linear Impact Assessment'!$O76,"0.00")</f>
        <v>0.00</v>
      </c>
      <c r="I55" s="465" t="str">
        <f>IF(D55="Low",'Linear Impact Assessment'!$O76,"0.00")</f>
        <v>0.00</v>
      </c>
    </row>
    <row r="56" spans="1:9" ht="12.75">
      <c r="A56" s="7"/>
      <c r="B56" s="442">
        <f>'Linear Impact Assessment'!D77</f>
        <v>0</v>
      </c>
      <c r="C56" s="451">
        <f>'Linear Impact Assessment'!E77</f>
        <v>0</v>
      </c>
      <c r="D56" s="452">
        <f>'Linear Impact Assessment'!F77</f>
      </c>
      <c r="E56" s="463" t="str">
        <f>IF(D56="High",'Linear Impact Assessment'!$O77,"0.00")</f>
        <v>0.00</v>
      </c>
      <c r="F56" s="464" t="str">
        <f>IF(D56="Medium-High",'Linear Impact Assessment'!$O77,"0.00")</f>
        <v>0.00</v>
      </c>
      <c r="G56" s="464" t="str">
        <f>IF(D56="Medium",'Linear Impact Assessment'!$O77,"0.00")</f>
        <v>0.00</v>
      </c>
      <c r="H56" s="464" t="str">
        <f>IF(D56="Medium-Low",'Linear Impact Assessment'!$O77,"0.00")</f>
        <v>0.00</v>
      </c>
      <c r="I56" s="465" t="str">
        <f>IF(D56="Low",'Linear Impact Assessment'!$O77,"0.00")</f>
        <v>0.00</v>
      </c>
    </row>
    <row r="57" spans="1:9" ht="12.75">
      <c r="A57" s="7"/>
      <c r="B57" s="442">
        <f>'Linear Impact Assessment'!D78</f>
        <v>0</v>
      </c>
      <c r="C57" s="451">
        <f>'Linear Impact Assessment'!E78</f>
        <v>0</v>
      </c>
      <c r="D57" s="452">
        <f>'Linear Impact Assessment'!F78</f>
      </c>
      <c r="E57" s="463" t="str">
        <f>IF(D57="High",'Linear Impact Assessment'!$O78,"0.00")</f>
        <v>0.00</v>
      </c>
      <c r="F57" s="464" t="str">
        <f>IF(D57="Medium-High",'Linear Impact Assessment'!$O78,"0.00")</f>
        <v>0.00</v>
      </c>
      <c r="G57" s="464" t="str">
        <f>IF(D57="Medium",'Linear Impact Assessment'!$O78,"0.00")</f>
        <v>0.00</v>
      </c>
      <c r="H57" s="464" t="str">
        <f>IF(D57="Medium-Low",'Linear Impact Assessment'!$O78,"0.00")</f>
        <v>0.00</v>
      </c>
      <c r="I57" s="465" t="str">
        <f>IF(D57="Low",'Linear Impact Assessment'!$O78,"0.00")</f>
        <v>0.00</v>
      </c>
    </row>
    <row r="58" spans="1:9" ht="12.75">
      <c r="A58" s="7"/>
      <c r="B58" s="442">
        <f>'Linear Impact Assessment'!D79</f>
        <v>0</v>
      </c>
      <c r="C58" s="451">
        <f>'Linear Impact Assessment'!E79</f>
        <v>0</v>
      </c>
      <c r="D58" s="452">
        <f>'Linear Impact Assessment'!F79</f>
      </c>
      <c r="E58" s="463" t="str">
        <f>IF(D58="High",'Linear Impact Assessment'!$O79,"0.00")</f>
        <v>0.00</v>
      </c>
      <c r="F58" s="464" t="str">
        <f>IF(D58="Medium-High",'Linear Impact Assessment'!$O79,"0.00")</f>
        <v>0.00</v>
      </c>
      <c r="G58" s="464" t="str">
        <f>IF(D58="Medium",'Linear Impact Assessment'!$O79,"0.00")</f>
        <v>0.00</v>
      </c>
      <c r="H58" s="464" t="str">
        <f>IF(D58="Medium-Low",'Linear Impact Assessment'!$O79,"0.00")</f>
        <v>0.00</v>
      </c>
      <c r="I58" s="465" t="str">
        <f>IF(D58="Low",'Linear Impact Assessment'!$O79,"0.00")</f>
        <v>0.00</v>
      </c>
    </row>
    <row r="59" spans="1:9" ht="12.75">
      <c r="A59" s="7"/>
      <c r="B59" s="442">
        <f>'Linear Impact Assessment'!D80</f>
        <v>0</v>
      </c>
      <c r="C59" s="451">
        <f>'Linear Impact Assessment'!E80</f>
        <v>0</v>
      </c>
      <c r="D59" s="452">
        <f>'Linear Impact Assessment'!F80</f>
      </c>
      <c r="E59" s="463" t="str">
        <f>IF(D59="High",'Linear Impact Assessment'!$O80,"0.00")</f>
        <v>0.00</v>
      </c>
      <c r="F59" s="464" t="str">
        <f>IF(D59="Medium-High",'Linear Impact Assessment'!$O80,"0.00")</f>
        <v>0.00</v>
      </c>
      <c r="G59" s="464" t="str">
        <f>IF(D59="Medium",'Linear Impact Assessment'!$O80,"0.00")</f>
        <v>0.00</v>
      </c>
      <c r="H59" s="464" t="str">
        <f>IF(D59="Medium-Low",'Linear Impact Assessment'!$O80,"0.00")</f>
        <v>0.00</v>
      </c>
      <c r="I59" s="465" t="str">
        <f>IF(D59="Low",'Linear Impact Assessment'!$O80,"0.00")</f>
        <v>0.00</v>
      </c>
    </row>
    <row r="60" spans="1:9" ht="13.5" thickBot="1">
      <c r="A60" s="7"/>
      <c r="B60" s="445">
        <f>'Linear Impact Assessment'!D81</f>
        <v>0</v>
      </c>
      <c r="C60" s="475">
        <f>'Linear Impact Assessment'!E81</f>
        <v>0</v>
      </c>
      <c r="D60" s="476">
        <f>'Linear Impact Assessment'!F81</f>
      </c>
      <c r="E60" s="463" t="str">
        <f>IF(D60="High",'Linear Impact Assessment'!$O81,"0.00")</f>
        <v>0.00</v>
      </c>
      <c r="F60" s="464" t="str">
        <f>IF(D60="Medium-High",'Linear Impact Assessment'!$O81,"0.00")</f>
        <v>0.00</v>
      </c>
      <c r="G60" s="464" t="str">
        <f>IF(D60="Medium",'Linear Impact Assessment'!$O81,"0.00")</f>
        <v>0.00</v>
      </c>
      <c r="H60" s="464" t="str">
        <f>IF(D60="Medium-Low",'Linear Impact Assessment'!$O81,"0.00")</f>
        <v>0.00</v>
      </c>
      <c r="I60" s="465" t="str">
        <f>IF(D60="Low",'Linear Impact Assessment'!$O81,"0.00")</f>
        <v>0.00</v>
      </c>
    </row>
    <row r="61" spans="1:9" ht="13.5" thickBot="1">
      <c r="A61" s="7"/>
      <c r="B61" s="23" t="s">
        <v>323</v>
      </c>
      <c r="C61" s="47" t="s">
        <v>282</v>
      </c>
      <c r="D61" s="28" t="s">
        <v>0</v>
      </c>
      <c r="E61" s="628" t="s">
        <v>52</v>
      </c>
      <c r="F61" s="629" t="s">
        <v>307</v>
      </c>
      <c r="G61" s="629" t="s">
        <v>76</v>
      </c>
      <c r="H61" s="630" t="s">
        <v>306</v>
      </c>
      <c r="I61" s="631" t="s">
        <v>54</v>
      </c>
    </row>
    <row r="62" spans="1:9" ht="12.75">
      <c r="A62" s="7"/>
      <c r="B62" s="443" t="str">
        <f>'Linear Impact Assessment'!D84</f>
        <v>Hedges: Hedge with trees</v>
      </c>
      <c r="C62" s="449">
        <f>'Linear Impact Assessment'!E84</f>
        <v>4.1</v>
      </c>
      <c r="D62" s="450" t="str">
        <f>'Linear Impact Assessment'!F84</f>
        <v>Medium-High</v>
      </c>
      <c r="E62" s="472" t="str">
        <f>IF(D62="High",'Linear Impact Assessment'!$O84,"0.00")</f>
        <v>0.00</v>
      </c>
      <c r="F62" s="473">
        <f>IF(D62="Medium-High",'Linear Impact Assessment'!$O84,"0.00")</f>
        <v>14.642857142857144</v>
      </c>
      <c r="G62" s="473" t="str">
        <f>IF(D62="Medium",'Linear Impact Assessment'!$O84,"0.00")</f>
        <v>0.00</v>
      </c>
      <c r="H62" s="473" t="str">
        <f>IF(D62="Medium-Low",'Linear Impact Assessment'!$O84,"0.00")</f>
        <v>0.00</v>
      </c>
      <c r="I62" s="474" t="str">
        <f>IF(D62="Low",'Linear Impact Assessment'!$O84,"0.00")</f>
        <v>0.00</v>
      </c>
    </row>
    <row r="63" spans="1:9" ht="12.75">
      <c r="A63" s="7"/>
      <c r="B63" s="442">
        <f>'Linear Impact Assessment'!D85</f>
        <v>0</v>
      </c>
      <c r="C63" s="451">
        <f>'Linear Impact Assessment'!E85</f>
        <v>0</v>
      </c>
      <c r="D63" s="452">
        <f>'Linear Impact Assessment'!F85</f>
      </c>
      <c r="E63" s="466" t="str">
        <f>IF(D63="High",'Linear Impact Assessment'!$O85,"0.00")</f>
        <v>0.00</v>
      </c>
      <c r="F63" s="467" t="str">
        <f>IF(D63="Medium-High",'Linear Impact Assessment'!$O85,"0.00")</f>
        <v>0.00</v>
      </c>
      <c r="G63" s="467" t="str">
        <f>IF(D63="Medium",'Linear Impact Assessment'!$O85,"0.00")</f>
        <v>0.00</v>
      </c>
      <c r="H63" s="467" t="str">
        <f>IF(D63="Medium-Low",'Linear Impact Assessment'!$O85,"0.00")</f>
        <v>0.00</v>
      </c>
      <c r="I63" s="468" t="str">
        <f>IF(D63="Low",'Linear Impact Assessment'!$O85,"0.00")</f>
        <v>0.00</v>
      </c>
    </row>
    <row r="64" spans="1:9" ht="12.75">
      <c r="A64" s="7"/>
      <c r="B64" s="442">
        <f>'Linear Impact Assessment'!D86</f>
        <v>0</v>
      </c>
      <c r="C64" s="451">
        <f>'Linear Impact Assessment'!E86</f>
        <v>0</v>
      </c>
      <c r="D64" s="452">
        <f>'Linear Impact Assessment'!F86</f>
      </c>
      <c r="E64" s="466" t="str">
        <f>IF(D64="High",'Linear Impact Assessment'!$O86,"0.00")</f>
        <v>0.00</v>
      </c>
      <c r="F64" s="467" t="str">
        <f>IF(D64="Medium-High",'Linear Impact Assessment'!$O86,"0.00")</f>
        <v>0.00</v>
      </c>
      <c r="G64" s="467" t="str">
        <f>IF(D64="Medium",'Linear Impact Assessment'!$O86,"0.00")</f>
        <v>0.00</v>
      </c>
      <c r="H64" s="467" t="str">
        <f>IF(D64="Medium-Low",'Linear Impact Assessment'!$O86,"0.00")</f>
        <v>0.00</v>
      </c>
      <c r="I64" s="468" t="str">
        <f>IF(D64="Low",'Linear Impact Assessment'!$O86,"0.00")</f>
        <v>0.00</v>
      </c>
    </row>
    <row r="65" spans="1:9" ht="12.75">
      <c r="A65" s="7"/>
      <c r="B65" s="442">
        <f>'Linear Impact Assessment'!D87</f>
        <v>0</v>
      </c>
      <c r="C65" s="451">
        <f>'Linear Impact Assessment'!E87</f>
        <v>0</v>
      </c>
      <c r="D65" s="452">
        <f>'Linear Impact Assessment'!F87</f>
      </c>
      <c r="E65" s="466" t="str">
        <f>IF(D65="High",'Linear Impact Assessment'!$O87,"0.00")</f>
        <v>0.00</v>
      </c>
      <c r="F65" s="467" t="str">
        <f>IF(D65="Medium-High",'Linear Impact Assessment'!$O87,"0.00")</f>
        <v>0.00</v>
      </c>
      <c r="G65" s="467" t="str">
        <f>IF(D65="Medium",'Linear Impact Assessment'!$O87,"0.00")</f>
        <v>0.00</v>
      </c>
      <c r="H65" s="467" t="str">
        <f>IF(D65="Medium-Low",'Linear Impact Assessment'!$O87,"0.00")</f>
        <v>0.00</v>
      </c>
      <c r="I65" s="468" t="str">
        <f>IF(D65="Low",'Linear Impact Assessment'!$O87,"0.00")</f>
        <v>0.00</v>
      </c>
    </row>
    <row r="66" spans="1:9" ht="12.75">
      <c r="A66" s="7"/>
      <c r="B66" s="442">
        <f>'Linear Impact Assessment'!D88</f>
        <v>0</v>
      </c>
      <c r="C66" s="451">
        <f>'Linear Impact Assessment'!E88</f>
        <v>0</v>
      </c>
      <c r="D66" s="452">
        <f>'Linear Impact Assessment'!F88</f>
      </c>
      <c r="E66" s="466" t="str">
        <f>IF(D66="High",'Linear Impact Assessment'!$O88,"0.00")</f>
        <v>0.00</v>
      </c>
      <c r="F66" s="467" t="str">
        <f>IF(D66="Medium-High",'Linear Impact Assessment'!$O88,"0.00")</f>
        <v>0.00</v>
      </c>
      <c r="G66" s="467" t="str">
        <f>IF(D66="Medium",'Linear Impact Assessment'!$O88,"0.00")</f>
        <v>0.00</v>
      </c>
      <c r="H66" s="467" t="str">
        <f>IF(D66="Medium-Low",'Linear Impact Assessment'!$O88,"0.00")</f>
        <v>0.00</v>
      </c>
      <c r="I66" s="468" t="str">
        <f>IF(D66="Low",'Linear Impact Assessment'!$O88,"0.00")</f>
        <v>0.00</v>
      </c>
    </row>
    <row r="67" spans="1:9" ht="12.75">
      <c r="A67" s="7"/>
      <c r="B67" s="442">
        <f>'Linear Impact Assessment'!D89</f>
        <v>0</v>
      </c>
      <c r="C67" s="451">
        <f>'Linear Impact Assessment'!E89</f>
        <v>0</v>
      </c>
      <c r="D67" s="452">
        <f>'Linear Impact Assessment'!F89</f>
      </c>
      <c r="E67" s="466" t="str">
        <f>IF(D67="High",'Linear Impact Assessment'!$O89,"0.00")</f>
        <v>0.00</v>
      </c>
      <c r="F67" s="467" t="str">
        <f>IF(D67="Medium-High",'Linear Impact Assessment'!$O89,"0.00")</f>
        <v>0.00</v>
      </c>
      <c r="G67" s="467" t="str">
        <f>IF(D67="Medium",'Linear Impact Assessment'!$O89,"0.00")</f>
        <v>0.00</v>
      </c>
      <c r="H67" s="467" t="str">
        <f>IF(D67="Medium-Low",'Linear Impact Assessment'!$O89,"0.00")</f>
        <v>0.00</v>
      </c>
      <c r="I67" s="468" t="str">
        <f>IF(D67="Low",'Linear Impact Assessment'!$O89,"0.00")</f>
        <v>0.00</v>
      </c>
    </row>
    <row r="68" spans="1:9" ht="12.75">
      <c r="A68" s="7"/>
      <c r="B68" s="442">
        <f>'Linear Impact Assessment'!D90</f>
        <v>0</v>
      </c>
      <c r="C68" s="451">
        <f>'Linear Impact Assessment'!E90</f>
        <v>0</v>
      </c>
      <c r="D68" s="452">
        <f>'Linear Impact Assessment'!F90</f>
      </c>
      <c r="E68" s="466" t="str">
        <f>IF(D68="High",'Linear Impact Assessment'!$O90,"0.00")</f>
        <v>0.00</v>
      </c>
      <c r="F68" s="467" t="str">
        <f>IF(D68="Medium-High",'Linear Impact Assessment'!$O90,"0.00")</f>
        <v>0.00</v>
      </c>
      <c r="G68" s="467" t="str">
        <f>IF(D68="Medium",'Linear Impact Assessment'!$O90,"0.00")</f>
        <v>0.00</v>
      </c>
      <c r="H68" s="467" t="str">
        <f>IF(D68="Medium-Low",'Linear Impact Assessment'!$O90,"0.00")</f>
        <v>0.00</v>
      </c>
      <c r="I68" s="468" t="str">
        <f>IF(D68="Low",'Linear Impact Assessment'!$O90,"0.00")</f>
        <v>0.00</v>
      </c>
    </row>
    <row r="69" spans="1:9" ht="12.75">
      <c r="A69" s="7"/>
      <c r="B69" s="442">
        <f>'Linear Impact Assessment'!D91</f>
        <v>0</v>
      </c>
      <c r="C69" s="451">
        <f>'Linear Impact Assessment'!E91</f>
        <v>0</v>
      </c>
      <c r="D69" s="452">
        <f>'Linear Impact Assessment'!F91</f>
      </c>
      <c r="E69" s="466" t="str">
        <f>IF(D69="High",'Linear Impact Assessment'!$O91,"0.00")</f>
        <v>0.00</v>
      </c>
      <c r="F69" s="467" t="str">
        <f>IF(D69="Medium-High",'Linear Impact Assessment'!$O91,"0.00")</f>
        <v>0.00</v>
      </c>
      <c r="G69" s="467" t="str">
        <f>IF(D69="Medium",'Linear Impact Assessment'!$O91,"0.00")</f>
        <v>0.00</v>
      </c>
      <c r="H69" s="467" t="str">
        <f>IF(D69="Medium-Low",'Linear Impact Assessment'!$O91,"0.00")</f>
        <v>0.00</v>
      </c>
      <c r="I69" s="468" t="str">
        <f>IF(D69="Low",'Linear Impact Assessment'!$O91,"0.00")</f>
        <v>0.00</v>
      </c>
    </row>
    <row r="70" spans="1:9" ht="12.75">
      <c r="A70" s="7"/>
      <c r="B70" s="442">
        <f>'Linear Impact Assessment'!D92</f>
        <v>0</v>
      </c>
      <c r="C70" s="451">
        <f>'Linear Impact Assessment'!E92</f>
        <v>0</v>
      </c>
      <c r="D70" s="452">
        <f>'Linear Impact Assessment'!F92</f>
      </c>
      <c r="E70" s="466" t="str">
        <f>IF(D70="High",'Linear Impact Assessment'!$O92,"0.00")</f>
        <v>0.00</v>
      </c>
      <c r="F70" s="467" t="str">
        <f>IF(D70="Medium-High",'Linear Impact Assessment'!$O92,"0.00")</f>
        <v>0.00</v>
      </c>
      <c r="G70" s="467" t="str">
        <f>IF(D70="Medium",'Linear Impact Assessment'!$O92,"0.00")</f>
        <v>0.00</v>
      </c>
      <c r="H70" s="467" t="str">
        <f>IF(D70="Medium-Low",'Linear Impact Assessment'!$O92,"0.00")</f>
        <v>0.00</v>
      </c>
      <c r="I70" s="468" t="str">
        <f>IF(D70="Low",'Linear Impact Assessment'!$O92,"0.00")</f>
        <v>0.00</v>
      </c>
    </row>
    <row r="71" spans="1:9" ht="12.75">
      <c r="A71" s="7"/>
      <c r="B71" s="442">
        <f>'Linear Impact Assessment'!D93</f>
        <v>0</v>
      </c>
      <c r="C71" s="451">
        <f>'Linear Impact Assessment'!E93</f>
        <v>0</v>
      </c>
      <c r="D71" s="452">
        <f>'Linear Impact Assessment'!F93</f>
      </c>
      <c r="E71" s="466" t="str">
        <f>IF(D71="High",'Linear Impact Assessment'!$O93,"0.00")</f>
        <v>0.00</v>
      </c>
      <c r="F71" s="467" t="str">
        <f>IF(D71="Medium-High",'Linear Impact Assessment'!$O93,"0.00")</f>
        <v>0.00</v>
      </c>
      <c r="G71" s="467" t="str">
        <f>IF(D71="Medium",'Linear Impact Assessment'!$O93,"0.00")</f>
        <v>0.00</v>
      </c>
      <c r="H71" s="467" t="str">
        <f>IF(D71="Medium-Low",'Linear Impact Assessment'!$O93,"0.00")</f>
        <v>0.00</v>
      </c>
      <c r="I71" s="468" t="str">
        <f>IF(D71="Low",'Linear Impact Assessment'!$O93,"0.00")</f>
        <v>0.00</v>
      </c>
    </row>
    <row r="72" spans="1:9" ht="12.75">
      <c r="A72" s="7"/>
      <c r="B72" s="442">
        <f>'Linear Impact Assessment'!D94</f>
        <v>0</v>
      </c>
      <c r="C72" s="451">
        <f>'Linear Impact Assessment'!E94</f>
        <v>0</v>
      </c>
      <c r="D72" s="452">
        <f>'Linear Impact Assessment'!F94</f>
      </c>
      <c r="E72" s="466" t="str">
        <f>IF(D72="High",'Linear Impact Assessment'!$O94,"0.00")</f>
        <v>0.00</v>
      </c>
      <c r="F72" s="467" t="str">
        <f>IF(D72="Medium-High",'Linear Impact Assessment'!$O94,"0.00")</f>
        <v>0.00</v>
      </c>
      <c r="G72" s="467" t="str">
        <f>IF(D72="Medium",'Linear Impact Assessment'!$O94,"0.00")</f>
        <v>0.00</v>
      </c>
      <c r="H72" s="467" t="str">
        <f>IF(D72="Medium-Low",'Linear Impact Assessment'!$O94,"0.00")</f>
        <v>0.00</v>
      </c>
      <c r="I72" s="468" t="str">
        <f>IF(D72="Low",'Linear Impact Assessment'!$O94,"0.00")</f>
        <v>0.00</v>
      </c>
    </row>
    <row r="73" spans="1:11" ht="12.75" customHeight="1">
      <c r="A73" s="7"/>
      <c r="B73" s="442">
        <f>'Linear Impact Assessment'!D95</f>
        <v>0</v>
      </c>
      <c r="C73" s="451">
        <f>'Linear Impact Assessment'!E95</f>
        <v>0</v>
      </c>
      <c r="D73" s="452">
        <f>'Linear Impact Assessment'!F95</f>
      </c>
      <c r="E73" s="466" t="str">
        <f>IF(D73="High",'Linear Impact Assessment'!$O95,"0.00")</f>
        <v>0.00</v>
      </c>
      <c r="F73" s="467" t="str">
        <f>IF(D73="Medium-High",'Linear Impact Assessment'!$O95,"0.00")</f>
        <v>0.00</v>
      </c>
      <c r="G73" s="467" t="str">
        <f>IF(D73="Medium",'Linear Impact Assessment'!$O95,"0.00")</f>
        <v>0.00</v>
      </c>
      <c r="H73" s="467" t="str">
        <f>IF(D73="Medium-Low",'Linear Impact Assessment'!$O95,"0.00")</f>
        <v>0.00</v>
      </c>
      <c r="I73" s="468" t="str">
        <f>IF(D73="Low",'Linear Impact Assessment'!$O95,"0.00")</f>
        <v>0.00</v>
      </c>
      <c r="K73" s="13"/>
    </row>
    <row r="74" spans="1:11" ht="12.75">
      <c r="A74" s="7"/>
      <c r="B74" s="442">
        <f>'Linear Impact Assessment'!D96</f>
        <v>0</v>
      </c>
      <c r="C74" s="451">
        <f>'Linear Impact Assessment'!E96</f>
        <v>0</v>
      </c>
      <c r="D74" s="452">
        <f>'Linear Impact Assessment'!F96</f>
      </c>
      <c r="E74" s="466" t="str">
        <f>IF(D74="High",'Linear Impact Assessment'!$O96,"0.00")</f>
        <v>0.00</v>
      </c>
      <c r="F74" s="467" t="str">
        <f>IF(D74="Medium-High",'Linear Impact Assessment'!$O96,"0.00")</f>
        <v>0.00</v>
      </c>
      <c r="G74" s="467" t="str">
        <f>IF(D74="Medium",'Linear Impact Assessment'!$O96,"0.00")</f>
        <v>0.00</v>
      </c>
      <c r="H74" s="467" t="str">
        <f>IF(D74="Medium-Low",'Linear Impact Assessment'!$O96,"0.00")</f>
        <v>0.00</v>
      </c>
      <c r="I74" s="468" t="str">
        <f>IF(D74="Low",'Linear Impact Assessment'!$O96,"0.00")</f>
        <v>0.00</v>
      </c>
      <c r="K74" s="13"/>
    </row>
    <row r="75" spans="1:9" ht="12.75">
      <c r="A75" s="7"/>
      <c r="B75" s="442">
        <f>'Linear Impact Assessment'!D97</f>
        <v>0</v>
      </c>
      <c r="C75" s="451">
        <f>'Linear Impact Assessment'!E97</f>
        <v>0</v>
      </c>
      <c r="D75" s="452">
        <f>'Linear Impact Assessment'!F97</f>
      </c>
      <c r="E75" s="466" t="str">
        <f>IF(D75="High",'Linear Impact Assessment'!$O97,"0.00")</f>
        <v>0.00</v>
      </c>
      <c r="F75" s="467" t="str">
        <f>IF(D75="Medium-High",'Linear Impact Assessment'!$O97,"0.00")</f>
        <v>0.00</v>
      </c>
      <c r="G75" s="467" t="str">
        <f>IF(D75="Medium",'Linear Impact Assessment'!$O97,"0.00")</f>
        <v>0.00</v>
      </c>
      <c r="H75" s="467" t="str">
        <f>IF(D75="Medium-Low",'Linear Impact Assessment'!$O97,"0.00")</f>
        <v>0.00</v>
      </c>
      <c r="I75" s="468" t="str">
        <f>IF(D75="Low",'Linear Impact Assessment'!$O97,"0.00")</f>
        <v>0.00</v>
      </c>
    </row>
    <row r="76" spans="2:9" s="7" customFormat="1" ht="13.5" thickBot="1">
      <c r="B76" s="445">
        <f>'Linear Impact Assessment'!D98</f>
        <v>0</v>
      </c>
      <c r="C76" s="475">
        <f>'Linear Impact Assessment'!E98</f>
        <v>0</v>
      </c>
      <c r="D76" s="476">
        <f>'Linear Impact Assessment'!F98</f>
      </c>
      <c r="E76" s="469" t="str">
        <f>IF(D76="High",'Linear Impact Assessment'!$O98,"0.00")</f>
        <v>0.00</v>
      </c>
      <c r="F76" s="470" t="str">
        <f>IF(D76="Medium-High",'Linear Impact Assessment'!$O98,"0.00")</f>
        <v>0.00</v>
      </c>
      <c r="G76" s="470" t="str">
        <f>IF(D76="Medium",'Linear Impact Assessment'!$O98,"0.00")</f>
        <v>0.00</v>
      </c>
      <c r="H76" s="470" t="str">
        <f>IF(D76="Medium-Low",'Linear Impact Assessment'!$O98,"0.00")</f>
        <v>0.00</v>
      </c>
      <c r="I76" s="471" t="str">
        <f>IF(D76="Low",'Linear Impact Assessment'!$O98,"0.00")</f>
        <v>0.00</v>
      </c>
    </row>
    <row r="77" spans="2:10" s="7" customFormat="1" ht="13.5" thickBot="1">
      <c r="B77" s="20" t="s">
        <v>219</v>
      </c>
      <c r="C77" s="21">
        <f>SUM(C46:C76)</f>
        <v>4.1</v>
      </c>
      <c r="D77" s="26"/>
      <c r="E77" s="425">
        <f>SUM(E46:E76)</f>
        <v>0</v>
      </c>
      <c r="F77" s="426">
        <f>SUM(F46:F76)</f>
        <v>14.642857142857144</v>
      </c>
      <c r="G77" s="426">
        <f>SUM(G46:G76)</f>
        <v>0</v>
      </c>
      <c r="H77" s="426">
        <f>SUM(H46:H76)</f>
        <v>0</v>
      </c>
      <c r="I77" s="427">
        <f>SUM(I46:I76)</f>
        <v>0</v>
      </c>
      <c r="J77" s="2"/>
    </row>
    <row r="78" s="7" customFormat="1" ht="12.75"/>
    <row r="79" s="7" customFormat="1" ht="13.5" thickBot="1"/>
    <row r="80" spans="2:9" s="7" customFormat="1" ht="13.5" thickBot="1">
      <c r="B80" s="11" t="s">
        <v>298</v>
      </c>
      <c r="E80" s="35" t="s">
        <v>52</v>
      </c>
      <c r="F80" s="644" t="s">
        <v>307</v>
      </c>
      <c r="G80" s="36" t="s">
        <v>76</v>
      </c>
      <c r="H80" s="645" t="s">
        <v>306</v>
      </c>
      <c r="I80" s="37" t="s">
        <v>54</v>
      </c>
    </row>
    <row r="81" spans="2:9" s="7" customFormat="1" ht="12.75">
      <c r="B81" s="816" t="s">
        <v>223</v>
      </c>
      <c r="C81" s="817"/>
      <c r="D81" s="817"/>
      <c r="E81" s="481">
        <f>E42</f>
        <v>0</v>
      </c>
      <c r="F81" s="449">
        <f>F42</f>
        <v>0</v>
      </c>
      <c r="G81" s="449">
        <f>G42</f>
        <v>0</v>
      </c>
      <c r="H81" s="449">
        <f>H42</f>
        <v>0</v>
      </c>
      <c r="I81" s="482">
        <f>I42</f>
        <v>0</v>
      </c>
    </row>
    <row r="82" spans="2:9" s="7" customFormat="1" ht="13.5" thickBot="1">
      <c r="B82" s="818" t="s">
        <v>224</v>
      </c>
      <c r="C82" s="819"/>
      <c r="D82" s="819"/>
      <c r="E82" s="483">
        <f>E77</f>
        <v>0</v>
      </c>
      <c r="F82" s="475">
        <f>F77</f>
        <v>14.642857142857144</v>
      </c>
      <c r="G82" s="475">
        <f>G77</f>
        <v>0</v>
      </c>
      <c r="H82" s="475">
        <f>H77</f>
        <v>0</v>
      </c>
      <c r="I82" s="484">
        <f>I77</f>
        <v>0</v>
      </c>
    </row>
    <row r="83" spans="2:11" s="7" customFormat="1" ht="13.5" thickBot="1">
      <c r="B83" s="820" t="s">
        <v>272</v>
      </c>
      <c r="C83" s="821"/>
      <c r="D83" s="823"/>
      <c r="E83" s="32" t="s">
        <v>270</v>
      </c>
      <c r="F83" s="33" t="str">
        <f>IF((E81&gt;E82)*AND(F82&gt;F81),"Yes","No")</f>
        <v>No</v>
      </c>
      <c r="G83" s="33" t="str">
        <f>IF((E84+F84&gt;0)*AND(G82&gt;G81),"Yes","No")</f>
        <v>No</v>
      </c>
      <c r="H83" s="616" t="str">
        <f>IF((E84+F84+G84&gt;0)*AND(H82&gt;H81),"Yes","No")</f>
        <v>No</v>
      </c>
      <c r="I83" s="34" t="str">
        <f>IF(I81&lt;I82,"Yes","No")</f>
        <v>No</v>
      </c>
      <c r="J83" s="4"/>
      <c r="K83" s="3"/>
    </row>
    <row r="84" spans="1:11" s="7" customFormat="1" ht="13.5" thickBot="1">
      <c r="A84" s="17"/>
      <c r="B84" s="810" t="s">
        <v>273</v>
      </c>
      <c r="C84" s="811"/>
      <c r="D84" s="811"/>
      <c r="E84" s="411" t="str">
        <f>IF(E82&lt;E81,E81-E82,"0")</f>
        <v>0</v>
      </c>
      <c r="F84" s="477" t="str">
        <f>IF((E85+F82)&lt;F81,F81-F82-E85,"0")</f>
        <v>0</v>
      </c>
      <c r="G84" s="477" t="str">
        <f>IF((F85+G82)&lt;G81,G81-G82-F85,"0")</f>
        <v>0</v>
      </c>
      <c r="H84" s="617" t="str">
        <f>IF((G85+H82)&lt;H81,H81-H82-G85,"0")</f>
        <v>0</v>
      </c>
      <c r="I84" s="412">
        <f>IF(I83="No",I81-I82,"0")</f>
        <v>0</v>
      </c>
      <c r="J84" s="13"/>
      <c r="K84" s="13"/>
    </row>
    <row r="85" spans="1:11" s="7" customFormat="1" ht="13.5" thickBot="1">
      <c r="A85" s="17"/>
      <c r="B85" s="812" t="s">
        <v>271</v>
      </c>
      <c r="C85" s="813"/>
      <c r="D85" s="813"/>
      <c r="E85" s="413" t="str">
        <f>IF(E82&gt;E81,E82-E81,"0")</f>
        <v>0</v>
      </c>
      <c r="F85" s="478">
        <f>IF((E85+F82-F81-E84)&gt;0,E85+F82-F81-E84,"0")</f>
        <v>14.642857142857144</v>
      </c>
      <c r="G85" s="478">
        <f>IF((F85+G82-G81-F84-E84)&gt;0,F85+G82-G81-F84-E84,"0")</f>
        <v>14.642857142857144</v>
      </c>
      <c r="H85" s="618">
        <f>IF((G85+H82-H81-G84-F84-E84)&gt;0,G85+H82-H81-G84-F84-E84,"0")</f>
        <v>14.642857142857144</v>
      </c>
      <c r="I85" s="414" t="s">
        <v>112</v>
      </c>
      <c r="J85" s="40" t="s">
        <v>111</v>
      </c>
      <c r="K85" s="13"/>
    </row>
    <row r="86" spans="2:11" s="7" customFormat="1" ht="13.5" thickBot="1">
      <c r="B86" s="824" t="s">
        <v>213</v>
      </c>
      <c r="C86" s="822"/>
      <c r="D86" s="822"/>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t="str">
        <f>IF(I83="Yes",I81-I82,"0")</f>
        <v>0</v>
      </c>
      <c r="J86" s="437">
        <f>SUM(F86:I86)</f>
        <v>0</v>
      </c>
      <c r="K86" s="15"/>
    </row>
    <row r="87" spans="5:11" s="7" customFormat="1" ht="12.75">
      <c r="E87" s="18"/>
      <c r="F87" s="2"/>
      <c r="G87" s="2"/>
      <c r="H87" s="2"/>
      <c r="J87" s="3"/>
      <c r="K87" s="13"/>
    </row>
    <row r="88" spans="5:10" s="7" customFormat="1" ht="12.75">
      <c r="E88" s="15"/>
      <c r="J88" s="3"/>
    </row>
    <row r="89" spans="2:10" s="7" customFormat="1" ht="41.25" customHeight="1">
      <c r="B89" s="808" t="s">
        <v>326</v>
      </c>
      <c r="C89" s="808"/>
      <c r="D89" s="808"/>
      <c r="E89" s="808"/>
      <c r="F89" s="808"/>
      <c r="G89" s="808"/>
      <c r="H89" s="808"/>
      <c r="I89" s="808"/>
      <c r="J89" s="13"/>
    </row>
    <row r="90" s="7" customFormat="1" ht="12.75">
      <c r="B90" s="2"/>
    </row>
    <row r="91" spans="2:9" s="7" customFormat="1" ht="26.25" customHeight="1">
      <c r="B91" s="814" t="s">
        <v>283</v>
      </c>
      <c r="C91" s="814"/>
      <c r="D91" s="814"/>
      <c r="E91" s="814"/>
      <c r="F91" s="814"/>
      <c r="G91" s="814"/>
      <c r="H91" s="814"/>
      <c r="I91" s="814"/>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Louise Sherwell</cp:lastModifiedBy>
  <cp:lastPrinted>2013-08-12T16:27:47Z</cp:lastPrinted>
  <dcterms:created xsi:type="dcterms:W3CDTF">2012-01-30T14:28:39Z</dcterms:created>
  <dcterms:modified xsi:type="dcterms:W3CDTF">2018-01-22T10:19:58Z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